
<file path=[Content_Types].xml><?xml version="1.0" encoding="utf-8"?>
<Types xmlns="http://schemas.openxmlformats.org/package/2006/content-types">
  <Default Extension="png" ContentType="image/png"/>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slicers/slicer1.xml" ContentType="application/vnd.ms-excel.slicer+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omments2.xml" ContentType="application/vnd.openxmlformats-officedocument.spreadsheetml.comments+xml"/>
  <Override PartName="/xl/drawings/drawing3.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https://stichtingfontys-my.sharepoint.com/personal/883074_fontys_nl/Documents/Documenten/GBT/GBT/"/>
    </mc:Choice>
  </mc:AlternateContent>
  <bookViews>
    <workbookView xWindow="-120" yWindow="-120" windowWidth="20730" windowHeight="11160"/>
  </bookViews>
  <sheets>
    <sheet name="Disclaimer" sheetId="42" r:id="rId1"/>
    <sheet name="Docu" sheetId="17" r:id="rId2"/>
    <sheet name="Input" sheetId="1" r:id="rId3"/>
    <sheet name="Dashboard" sheetId="7" r:id="rId4"/>
    <sheet name="Scenario " sheetId="41" r:id="rId5"/>
    <sheet name="Tuinders" sheetId="15" r:id="rId6"/>
    <sheet name="Hub" sheetId="10" r:id="rId7"/>
    <sheet name="Final mile" sheetId="5" r:id="rId8"/>
    <sheet name="Uitserveren op school" sheetId="9" r:id="rId9"/>
    <sheet name="Inkooplijst" sheetId="3" r:id="rId10"/>
    <sheet name="Dropdown" sheetId="8" state="hidden" r:id="rId11"/>
  </sheets>
  <definedNames>
    <definedName name="_xlnm._FilterDatabase" localSheetId="9" hidden="1">Inkooplijst!$A$2:$E$96</definedName>
    <definedName name="Aantal_Deelnemende_Scholen">Input!$C$36</definedName>
    <definedName name="Aantal_groepen">Input!$C$39</definedName>
    <definedName name="Aantal_Leerlingen">Input!$G$36</definedName>
    <definedName name="Aantal_Lunches_per_Groep">Input!$C$41</definedName>
    <definedName name="Aantal_lunches_per_school_per_week">Input!$C$44</definedName>
    <definedName name="Aantal_stop_per_uur_fiets_koerier">Input!$C$79</definedName>
    <definedName name="Aantal_stops_per_uur_auto">Input!$C$75</definedName>
    <definedName name="Aantal_stops_per_uur_transportbusje">Input!$C$77</definedName>
    <definedName name="Aantal_werkdagen_op_de_Hub">Input!$C$111</definedName>
    <definedName name="DB_collectiekosten_tuinders">Input!$C$150</definedName>
    <definedName name="DB_Inkoopkosten">Input!$C$154</definedName>
    <definedName name="DB_logistieke_kosten">Dashboard!$Y$9</definedName>
    <definedName name="DB_logistieke_kosten_final_mile">Input!$C$152</definedName>
    <definedName name="DB_productie_kosten_hub">Input!$C$151</definedName>
    <definedName name="DB_totale_kosten_dashboard">Input!$C$155</definedName>
    <definedName name="DB_uitserveerkosten">Input!$C$153</definedName>
    <definedName name="Inkoop_kosten_per_lunch">Input!$C$114</definedName>
    <definedName name="Kosten_per_uur_uitserveren_op_school">Input!$C$101</definedName>
    <definedName name="Management_opslag__voorbereiding">Input!$C$105</definedName>
    <definedName name="Netto_productietijd_per_lunch_in_min">Input!$C$104</definedName>
    <definedName name="Slicer_input">#N/A</definedName>
    <definedName name="Toeslag_volume">Input!$C$86</definedName>
    <definedName name="totale_kosten_dashboard">Input!$C$155</definedName>
    <definedName name="Uurtarief_professional">Input!$C$108</definedName>
    <definedName name="Vaste_kosten_Hub_per_werkdag">Input!$C$112</definedName>
    <definedName name="Volume_per_auto">Input!$C$76</definedName>
    <definedName name="Volume_per_fietskoerier">Input!$C$80</definedName>
    <definedName name="Volume_per_kind">Input!$C$85</definedName>
    <definedName name="Volume_per_transportbusje">Input!$C$78</definedName>
  </definedNames>
  <calcPr calcId="162913" calcMode="manual"/>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12"/>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6" i="17" l="1"/>
  <c r="E5" i="17"/>
  <c r="E7" i="9"/>
  <c r="C7" i="9"/>
  <c r="D41" i="1"/>
  <c r="U17" i="1"/>
  <c r="J15" i="15"/>
  <c r="S4" i="7"/>
  <c r="M162" i="1"/>
  <c r="M163" i="1"/>
  <c r="M164" i="1"/>
  <c r="M165" i="1"/>
  <c r="M166" i="1"/>
  <c r="M167" i="1"/>
  <c r="M168" i="1"/>
  <c r="M169" i="1"/>
  <c r="M170" i="1"/>
  <c r="M171" i="1"/>
  <c r="M161" i="1"/>
  <c r="G5" i="17"/>
  <c r="G6" i="17"/>
  <c r="G36" i="1" l="1"/>
  <c r="D21" i="5"/>
  <c r="F15" i="5" l="1"/>
  <c r="I5" i="5"/>
  <c r="G5" i="5"/>
  <c r="E5" i="5"/>
  <c r="C6" i="10" l="1"/>
  <c r="C12" i="10"/>
  <c r="C11" i="10"/>
  <c r="C10" i="10"/>
  <c r="C9" i="10"/>
  <c r="C8" i="10"/>
  <c r="C7" i="10"/>
  <c r="G41" i="1"/>
  <c r="H87" i="1"/>
  <c r="Q9" i="15"/>
  <c r="Q8" i="15"/>
  <c r="P9" i="15"/>
  <c r="P8" i="15"/>
  <c r="J9" i="15"/>
  <c r="J10" i="15"/>
  <c r="J11" i="15"/>
  <c r="J12" i="15"/>
  <c r="J13" i="15"/>
  <c r="J14" i="15"/>
  <c r="J16" i="15"/>
  <c r="J17" i="15"/>
  <c r="J18" i="15"/>
  <c r="J19" i="15"/>
  <c r="J20" i="15"/>
  <c r="J21" i="15"/>
  <c r="J22" i="15"/>
  <c r="J23" i="15"/>
  <c r="J24" i="15"/>
  <c r="J25" i="15"/>
  <c r="J26" i="15"/>
  <c r="J27" i="15"/>
  <c r="J28" i="15"/>
  <c r="J29" i="15"/>
  <c r="J30" i="15"/>
  <c r="J31" i="15"/>
  <c r="J32" i="15"/>
  <c r="J33" i="15"/>
  <c r="J8" i="15"/>
  <c r="F33" i="15"/>
  <c r="E33" i="15"/>
  <c r="C33" i="15"/>
  <c r="B33" i="15"/>
  <c r="F32" i="15"/>
  <c r="E32" i="15"/>
  <c r="C32" i="15"/>
  <c r="B32" i="15"/>
  <c r="F31" i="15"/>
  <c r="E31" i="15"/>
  <c r="C31" i="15"/>
  <c r="B31" i="15"/>
  <c r="F30" i="15"/>
  <c r="E30" i="15"/>
  <c r="C30" i="15"/>
  <c r="B30" i="15"/>
  <c r="F29" i="15"/>
  <c r="E29" i="15"/>
  <c r="C29" i="15"/>
  <c r="B29" i="15"/>
  <c r="F28" i="15"/>
  <c r="E28" i="15"/>
  <c r="C28" i="15"/>
  <c r="B28" i="15"/>
  <c r="F27" i="15"/>
  <c r="E27" i="15"/>
  <c r="C27" i="15"/>
  <c r="B27" i="15"/>
  <c r="F26" i="15"/>
  <c r="E26" i="15"/>
  <c r="C26" i="15"/>
  <c r="B26" i="15"/>
  <c r="F25" i="15"/>
  <c r="E25" i="15"/>
  <c r="C25" i="15"/>
  <c r="B25" i="15"/>
  <c r="F24" i="15"/>
  <c r="E24" i="15"/>
  <c r="C24" i="15"/>
  <c r="B24" i="15"/>
  <c r="F23" i="15"/>
  <c r="E23" i="15"/>
  <c r="C23" i="15"/>
  <c r="B23" i="15"/>
  <c r="F22" i="15"/>
  <c r="E22" i="15"/>
  <c r="C22" i="15"/>
  <c r="B22" i="15"/>
  <c r="F21" i="15"/>
  <c r="E21" i="15"/>
  <c r="C21" i="15"/>
  <c r="B21" i="15"/>
  <c r="F20" i="15"/>
  <c r="E20" i="15"/>
  <c r="C20" i="15"/>
  <c r="B20" i="15"/>
  <c r="F19" i="15"/>
  <c r="E19" i="15"/>
  <c r="C19" i="15"/>
  <c r="B19" i="15"/>
  <c r="F18" i="15"/>
  <c r="E18" i="15"/>
  <c r="C18" i="15"/>
  <c r="B18" i="15"/>
  <c r="F17" i="15"/>
  <c r="E17" i="15"/>
  <c r="C17" i="15"/>
  <c r="B17" i="15"/>
  <c r="F16" i="15"/>
  <c r="E16" i="15"/>
  <c r="C16" i="15"/>
  <c r="B16" i="15"/>
  <c r="F15" i="15"/>
  <c r="E15" i="15"/>
  <c r="C15" i="15"/>
  <c r="B15" i="15"/>
  <c r="F14" i="15"/>
  <c r="E14" i="15"/>
  <c r="C14" i="15"/>
  <c r="B14" i="15"/>
  <c r="F13" i="15"/>
  <c r="E13" i="15"/>
  <c r="C13" i="15"/>
  <c r="B13" i="15"/>
  <c r="F12" i="15"/>
  <c r="E12" i="15"/>
  <c r="C12" i="15"/>
  <c r="B12" i="15"/>
  <c r="F11" i="15"/>
  <c r="E11" i="15"/>
  <c r="C11" i="15"/>
  <c r="B11" i="15"/>
  <c r="F10" i="15"/>
  <c r="E10" i="15"/>
  <c r="C10" i="15"/>
  <c r="B10" i="15"/>
  <c r="F9" i="15"/>
  <c r="E9" i="15"/>
  <c r="C9" i="15"/>
  <c r="B9" i="15"/>
  <c r="F8" i="15"/>
  <c r="E8" i="15"/>
  <c r="C8" i="15"/>
  <c r="B8" i="15"/>
  <c r="I5" i="7"/>
  <c r="H41" i="1"/>
  <c r="H36" i="1"/>
  <c r="C5" i="10" l="1"/>
  <c r="F4" i="10" s="1"/>
  <c r="G10" i="10"/>
  <c r="D2" i="15"/>
  <c r="P2" i="15"/>
  <c r="G4" i="10" l="1"/>
  <c r="J10" i="10"/>
  <c r="G12" i="10"/>
  <c r="J12" i="10" s="1"/>
  <c r="G6" i="9"/>
  <c r="Y5" i="7"/>
  <c r="C154" i="1" l="1"/>
  <c r="F5" i="10"/>
  <c r="G5" i="10" s="1"/>
  <c r="G6" i="10" s="1"/>
  <c r="G8" i="10" s="1"/>
  <c r="G14" i="10" s="1"/>
  <c r="F6" i="10" l="1"/>
  <c r="H8" i="10"/>
  <c r="H12" i="10"/>
  <c r="J8" i="10"/>
  <c r="U107" i="1" s="1"/>
  <c r="J14" i="10"/>
  <c r="H10" i="10"/>
  <c r="G5" i="9"/>
  <c r="E5" i="9"/>
  <c r="G7" i="9"/>
  <c r="G4" i="9"/>
  <c r="E6" i="9"/>
  <c r="E4" i="9"/>
  <c r="C6" i="9"/>
  <c r="C5" i="9"/>
  <c r="C4" i="9"/>
  <c r="I9" i="7" l="1"/>
  <c r="J147" i="1"/>
  <c r="C9" i="9"/>
  <c r="C10" i="9" s="1"/>
  <c r="C12" i="9" s="1"/>
  <c r="C13" i="9" s="1"/>
  <c r="D18" i="9" s="1"/>
  <c r="E9" i="9"/>
  <c r="E10" i="9" s="1"/>
  <c r="E12" i="9" s="1"/>
  <c r="E19" i="9" s="1"/>
  <c r="G9" i="9"/>
  <c r="G10" i="9" s="1"/>
  <c r="G12" i="9" s="1"/>
  <c r="H15" i="5"/>
  <c r="D15" i="5"/>
  <c r="H21" i="5"/>
  <c r="F21" i="5"/>
  <c r="H14" i="5"/>
  <c r="F14" i="5"/>
  <c r="D14" i="5"/>
  <c r="H13" i="5"/>
  <c r="H12" i="5"/>
  <c r="F13" i="5"/>
  <c r="F12" i="5"/>
  <c r="H11" i="5"/>
  <c r="H10" i="5"/>
  <c r="F11" i="5"/>
  <c r="F10" i="5"/>
  <c r="D11" i="5"/>
  <c r="D10" i="5"/>
  <c r="H9" i="5"/>
  <c r="H8" i="5"/>
  <c r="H7" i="5"/>
  <c r="F9" i="5"/>
  <c r="F8" i="5"/>
  <c r="F7" i="5"/>
  <c r="D7" i="5"/>
  <c r="C151" i="1" l="1"/>
  <c r="I10" i="7"/>
  <c r="I11" i="7"/>
  <c r="F20" i="5"/>
  <c r="H20" i="5"/>
  <c r="G13" i="9"/>
  <c r="E18" i="9"/>
  <c r="E13" i="9"/>
  <c r="D19" i="9" s="1"/>
  <c r="H22" i="5"/>
  <c r="H26" i="5" s="1"/>
  <c r="F22" i="5"/>
  <c r="F26" i="5" s="1"/>
  <c r="C14" i="5"/>
  <c r="D9" i="5"/>
  <c r="D12" i="5"/>
  <c r="D13" i="5"/>
  <c r="C10" i="5"/>
  <c r="C11" i="5"/>
  <c r="D8" i="5"/>
  <c r="D20" i="5" s="1"/>
  <c r="M11" i="1"/>
  <c r="M12" i="1" s="1"/>
  <c r="M7" i="1"/>
  <c r="M8" i="1" s="1"/>
  <c r="D20" i="9" l="1"/>
  <c r="S9" i="7" s="1"/>
  <c r="I199" i="1"/>
  <c r="H27" i="5"/>
  <c r="H28" i="5" s="1"/>
  <c r="H31" i="5" s="1"/>
  <c r="F27" i="5"/>
  <c r="F28" i="5" s="1"/>
  <c r="F31" i="5" s="1"/>
  <c r="D26" i="15"/>
  <c r="D12" i="15"/>
  <c r="D31" i="15"/>
  <c r="D13" i="15"/>
  <c r="D30" i="15"/>
  <c r="D14" i="15"/>
  <c r="D18" i="15"/>
  <c r="D25" i="15"/>
  <c r="D19" i="15"/>
  <c r="D10" i="15"/>
  <c r="D22" i="15"/>
  <c r="D23" i="15"/>
  <c r="D32" i="15"/>
  <c r="D21" i="15"/>
  <c r="D33" i="15"/>
  <c r="D15" i="15"/>
  <c r="D28" i="15"/>
  <c r="D17" i="15"/>
  <c r="D8" i="15"/>
  <c r="D27" i="15"/>
  <c r="D24" i="15"/>
  <c r="D16" i="15"/>
  <c r="D20" i="15"/>
  <c r="D9" i="15"/>
  <c r="D29" i="15"/>
  <c r="D11" i="15"/>
  <c r="E20" i="9"/>
  <c r="S11" i="7" s="1"/>
  <c r="D22" i="5"/>
  <c r="D26" i="5" s="1"/>
  <c r="S10" i="7" l="1"/>
  <c r="C153" i="1"/>
  <c r="F32" i="5"/>
  <c r="H32" i="5"/>
  <c r="H29" i="5"/>
  <c r="F29" i="5"/>
  <c r="D3" i="15"/>
  <c r="G25" i="15"/>
  <c r="H25" i="15" s="1"/>
  <c r="I25" i="15"/>
  <c r="G15" i="15"/>
  <c r="H15" i="15" s="1"/>
  <c r="I15" i="15"/>
  <c r="I20" i="15"/>
  <c r="G20" i="15"/>
  <c r="H20" i="15" s="1"/>
  <c r="I8" i="15"/>
  <c r="G8" i="15"/>
  <c r="H8" i="15" s="1"/>
  <c r="I33" i="15"/>
  <c r="G33" i="15"/>
  <c r="H33" i="15" s="1"/>
  <c r="D4" i="15"/>
  <c r="G22" i="15"/>
  <c r="H22" i="15" s="1"/>
  <c r="I22" i="15"/>
  <c r="I18" i="15"/>
  <c r="G18" i="15"/>
  <c r="H18" i="15" s="1"/>
  <c r="I31" i="15"/>
  <c r="G31" i="15"/>
  <c r="H31" i="15" s="1"/>
  <c r="I11" i="15"/>
  <c r="G11" i="15"/>
  <c r="H11" i="15" s="1"/>
  <c r="G16" i="15"/>
  <c r="H16" i="15" s="1"/>
  <c r="I16" i="15"/>
  <c r="I17" i="15"/>
  <c r="G17" i="15"/>
  <c r="H17" i="15" s="1"/>
  <c r="G21" i="15"/>
  <c r="H21" i="15" s="1"/>
  <c r="I21" i="15"/>
  <c r="I10" i="15"/>
  <c r="G10" i="15"/>
  <c r="H10" i="15" s="1"/>
  <c r="I14" i="15"/>
  <c r="G14" i="15"/>
  <c r="H14" i="15" s="1"/>
  <c r="I12" i="15"/>
  <c r="G12" i="15"/>
  <c r="H12" i="15" s="1"/>
  <c r="I9" i="15"/>
  <c r="G9" i="15"/>
  <c r="H9" i="15" s="1"/>
  <c r="G27" i="15"/>
  <c r="H27" i="15" s="1"/>
  <c r="I27" i="15"/>
  <c r="I23" i="15"/>
  <c r="G23" i="15"/>
  <c r="H23" i="15" s="1"/>
  <c r="I13" i="15"/>
  <c r="G13" i="15"/>
  <c r="H13" i="15" s="1"/>
  <c r="G29" i="15"/>
  <c r="H29" i="15" s="1"/>
  <c r="I29" i="15"/>
  <c r="I24" i="15"/>
  <c r="G24" i="15"/>
  <c r="H24" i="15" s="1"/>
  <c r="I28" i="15"/>
  <c r="G28" i="15"/>
  <c r="H28" i="15" s="1"/>
  <c r="G32" i="15"/>
  <c r="H32" i="15" s="1"/>
  <c r="I32" i="15"/>
  <c r="G19" i="15"/>
  <c r="H19" i="15" s="1"/>
  <c r="I19" i="15"/>
  <c r="G30" i="15"/>
  <c r="H30" i="15" s="1"/>
  <c r="I30" i="15"/>
  <c r="I26" i="15"/>
  <c r="G26" i="15"/>
  <c r="H26" i="15" s="1"/>
  <c r="K10" i="15" a="1"/>
  <c r="F35" i="5" l="1"/>
  <c r="F33" i="5" s="1"/>
  <c r="F36" i="5" s="1"/>
  <c r="H37" i="5"/>
  <c r="H39" i="5" s="1"/>
  <c r="H35" i="5"/>
  <c r="F37" i="5"/>
  <c r="F39" i="5" s="1"/>
  <c r="F30" i="5"/>
  <c r="F47" i="5"/>
  <c r="H30" i="5"/>
  <c r="H47" i="5"/>
  <c r="H34" i="5"/>
  <c r="I34" i="5" s="1"/>
  <c r="F34" i="5"/>
  <c r="G34" i="5" s="1"/>
  <c r="K10" i="15"/>
  <c r="G3" i="15"/>
  <c r="G1" i="15"/>
  <c r="H1" i="15" s="1"/>
  <c r="I6" i="7" s="1"/>
  <c r="G4" i="15"/>
  <c r="D5" i="15"/>
  <c r="P5" i="15" s="1"/>
  <c r="K14" i="15" a="1"/>
  <c r="K24" i="15" a="1"/>
  <c r="K33" i="15" a="1"/>
  <c r="L20" i="15" a="1"/>
  <c r="M24" i="15" a="1"/>
  <c r="M33" i="15" a="1"/>
  <c r="K23" i="15" a="1"/>
  <c r="K27" i="15" a="1"/>
  <c r="M17" i="15" a="1"/>
  <c r="K17" i="15" a="1"/>
  <c r="K22" i="15" a="1"/>
  <c r="K30" i="15" a="1"/>
  <c r="L19" i="15" a="1"/>
  <c r="K31" i="15" a="1"/>
  <c r="L13" i="15" a="1"/>
  <c r="M27" i="15" a="1"/>
  <c r="M8" i="15" a="1"/>
  <c r="M16" i="15" a="1"/>
  <c r="M20" i="15" a="1"/>
  <c r="M18" i="15" a="1"/>
  <c r="K26" i="15" a="1"/>
  <c r="M19" i="15" a="1"/>
  <c r="L17" i="15" a="1"/>
  <c r="L30" i="15" a="1"/>
  <c r="M26" i="15" a="1"/>
  <c r="K32" i="15" a="1"/>
  <c r="M31" i="15" a="1"/>
  <c r="M29" i="15" a="1"/>
  <c r="K25" i="15" a="1"/>
  <c r="L26" i="15" a="1"/>
  <c r="L22" i="15" a="1"/>
  <c r="L25" i="15" a="1"/>
  <c r="K16" i="15" a="1"/>
  <c r="M28" i="15" a="1"/>
  <c r="L11" i="15" a="1"/>
  <c r="K8" i="15" a="1"/>
  <c r="K9" i="15" a="1"/>
  <c r="M25" i="15" a="1"/>
  <c r="M10" i="15" a="1"/>
  <c r="L18" i="15" a="1"/>
  <c r="M15" i="15" a="1"/>
  <c r="L15" i="15" a="1"/>
  <c r="L29" i="15" a="1"/>
  <c r="L21" i="15" a="1"/>
  <c r="K20" i="15" a="1"/>
  <c r="K13" i="15" a="1"/>
  <c r="L24" i="15" a="1"/>
  <c r="M30" i="15" a="1"/>
  <c r="M32" i="15" a="1"/>
  <c r="K19" i="15" a="1"/>
  <c r="L32" i="15" a="1"/>
  <c r="K15" i="15" a="1"/>
  <c r="K12" i="15" a="1"/>
  <c r="M14" i="15" a="1"/>
  <c r="M23" i="15" a="1"/>
  <c r="L33" i="15" a="1"/>
  <c r="L9" i="15" a="1"/>
  <c r="L16" i="15" a="1"/>
  <c r="K29" i="15" a="1"/>
  <c r="L23" i="15" a="1"/>
  <c r="L31" i="15" a="1"/>
  <c r="M13" i="15" a="1"/>
  <c r="L28" i="15" a="1"/>
  <c r="M11" i="15" a="1"/>
  <c r="M22" i="15" a="1"/>
  <c r="M21" i="15" a="1"/>
  <c r="L14" i="15" a="1"/>
  <c r="L27" i="15" a="1"/>
  <c r="L12" i="15" a="1"/>
  <c r="M12" i="15" a="1"/>
  <c r="K28" i="15" a="1"/>
  <c r="L10" i="15" a="1"/>
  <c r="L8" i="15" a="1"/>
  <c r="K11" i="15" a="1"/>
  <c r="K21" i="15" a="1"/>
  <c r="M9" i="15" a="1"/>
  <c r="K18" i="15" a="1"/>
  <c r="F40" i="5" l="1"/>
  <c r="F38" i="5"/>
  <c r="F41" i="5" s="1"/>
  <c r="H33" i="5"/>
  <c r="H38" i="5" s="1"/>
  <c r="H40" i="5"/>
  <c r="K18" i="15"/>
  <c r="L13" i="15"/>
  <c r="M29" i="15"/>
  <c r="K14" i="15"/>
  <c r="M28" i="15"/>
  <c r="L26" i="15"/>
  <c r="M27" i="15"/>
  <c r="K32" i="15"/>
  <c r="M30" i="15"/>
  <c r="M25" i="15"/>
  <c r="M18" i="15"/>
  <c r="K11" i="15"/>
  <c r="M10" i="15"/>
  <c r="K12" i="15"/>
  <c r="M24" i="15"/>
  <c r="K22" i="15"/>
  <c r="K16" i="15"/>
  <c r="L29" i="15"/>
  <c r="L20" i="15"/>
  <c r="L21" i="15"/>
  <c r="L15" i="15"/>
  <c r="L31" i="15"/>
  <c r="M9" i="15"/>
  <c r="M23" i="15"/>
  <c r="K28" i="15"/>
  <c r="K8" i="15"/>
  <c r="K33" i="15"/>
  <c r="L27" i="15"/>
  <c r="L32" i="15"/>
  <c r="K25" i="15"/>
  <c r="M12" i="15"/>
  <c r="M16" i="15"/>
  <c r="L19" i="15"/>
  <c r="M15" i="15"/>
  <c r="M31" i="15"/>
  <c r="L25" i="15"/>
  <c r="L10" i="15"/>
  <c r="K24" i="15"/>
  <c r="M20" i="15"/>
  <c r="L14" i="15"/>
  <c r="K9" i="15"/>
  <c r="L23" i="15"/>
  <c r="M26" i="15"/>
  <c r="M8" i="15"/>
  <c r="L33" i="15"/>
  <c r="K27" i="15"/>
  <c r="K30" i="15"/>
  <c r="M11" i="15"/>
  <c r="L17" i="15"/>
  <c r="K21" i="15"/>
  <c r="K23" i="15"/>
  <c r="L18" i="15"/>
  <c r="M17" i="15"/>
  <c r="K13" i="15"/>
  <c r="L22" i="15"/>
  <c r="L16" i="15"/>
  <c r="K19" i="15"/>
  <c r="M21" i="15"/>
  <c r="L11" i="15"/>
  <c r="K17" i="15"/>
  <c r="L12" i="15"/>
  <c r="M13" i="15"/>
  <c r="L24" i="15"/>
  <c r="M22" i="15"/>
  <c r="K29" i="15"/>
  <c r="M19" i="15"/>
  <c r="K20" i="15"/>
  <c r="K15" i="15"/>
  <c r="K31" i="15"/>
  <c r="M14" i="15"/>
  <c r="L9" i="15"/>
  <c r="L28" i="15"/>
  <c r="K26" i="15"/>
  <c r="L8" i="15"/>
  <c r="M33" i="15"/>
  <c r="M32" i="15"/>
  <c r="L30" i="15"/>
  <c r="G5" i="15"/>
  <c r="P4" i="15" s="1"/>
  <c r="P12" i="15" s="1"/>
  <c r="E132" i="1" s="1"/>
  <c r="J6" i="7"/>
  <c r="D6" i="7" l="1"/>
  <c r="K174" i="1"/>
  <c r="F43" i="5"/>
  <c r="F46" i="5" s="1"/>
  <c r="G48" i="5" s="1"/>
  <c r="G49" i="5" s="1"/>
  <c r="H36" i="5"/>
  <c r="H41" i="5" s="1"/>
  <c r="H42" i="5" s="1"/>
  <c r="F42" i="5"/>
  <c r="K1" i="15"/>
  <c r="K4" i="15"/>
  <c r="M1" i="15"/>
  <c r="L1" i="15"/>
  <c r="L4" i="15"/>
  <c r="M3" i="15"/>
  <c r="M4" i="15"/>
  <c r="L3" i="15"/>
  <c r="K3" i="15"/>
  <c r="T12" i="15"/>
  <c r="T13" i="15"/>
  <c r="P3" i="15" l="1"/>
  <c r="D7" i="7"/>
  <c r="T86" i="1"/>
  <c r="H43" i="5"/>
  <c r="H46" i="5" s="1"/>
  <c r="I48" i="5" s="1"/>
  <c r="I49" i="5" s="1"/>
  <c r="P15" i="15"/>
  <c r="P20" i="15" s="1"/>
  <c r="K5" i="15"/>
  <c r="M5" i="15"/>
  <c r="L5" i="15"/>
  <c r="P16" i="15" l="1"/>
  <c r="P22" i="15" s="1"/>
  <c r="S22" i="15" s="1"/>
  <c r="P17" i="15"/>
  <c r="P21" i="15" s="1"/>
  <c r="S21" i="15" s="1"/>
  <c r="S23" i="15" l="1"/>
  <c r="S25" i="15" s="1"/>
  <c r="T10" i="1" l="1"/>
  <c r="D132" i="1"/>
  <c r="J132" i="1"/>
  <c r="J174" i="1"/>
  <c r="D9" i="7"/>
  <c r="D27" i="5"/>
  <c r="D28" i="5" s="1"/>
  <c r="D31" i="5" s="1"/>
  <c r="D32" i="5" s="1"/>
  <c r="D37" i="5" l="1"/>
  <c r="D39" i="5" s="1"/>
  <c r="D11" i="7"/>
  <c r="C150" i="1"/>
  <c r="D35" i="5"/>
  <c r="D10" i="7"/>
  <c r="D29" i="5"/>
  <c r="D47" i="5" s="1"/>
  <c r="D33" i="5" l="1"/>
  <c r="D38" i="5" s="1"/>
  <c r="D40" i="5"/>
  <c r="D30" i="5"/>
  <c r="D34" i="5"/>
  <c r="D36" i="5" l="1"/>
  <c r="D41" i="5" s="1"/>
  <c r="D42" i="5" s="1"/>
  <c r="E34" i="5"/>
  <c r="D43" i="5" l="1"/>
  <c r="D46" i="5" s="1"/>
  <c r="E48" i="5" s="1"/>
  <c r="E49" i="5" s="1"/>
  <c r="D51" i="5" s="1"/>
  <c r="J160" i="1" l="1"/>
  <c r="N9" i="7"/>
  <c r="AD76" i="1" s="1"/>
  <c r="D53" i="5"/>
  <c r="D52" i="5"/>
  <c r="T76" i="1" l="1"/>
  <c r="Y9" i="7"/>
  <c r="C152" i="1"/>
  <c r="N11" i="7"/>
  <c r="N10" i="7"/>
  <c r="N6" i="7"/>
  <c r="N4" i="7"/>
  <c r="L174" i="1" l="1"/>
  <c r="Y11" i="7"/>
  <c r="AA5" i="7" s="1"/>
  <c r="AA9" i="7" l="1"/>
  <c r="K147" i="1"/>
  <c r="C155" i="1"/>
  <c r="K160" i="1"/>
</calcChain>
</file>

<file path=xl/comments1.xml><?xml version="1.0" encoding="utf-8"?>
<comments xmlns="http://schemas.openxmlformats.org/spreadsheetml/2006/main">
  <authors>
    <author>Bart</author>
  </authors>
  <commentList>
    <comment ref="I6" authorId="0" shapeId="0">
      <text>
        <r>
          <rPr>
            <b/>
            <sz val="9"/>
            <color indexed="81"/>
            <rFont val="Tahoma"/>
            <family val="2"/>
          </rPr>
          <t>Bart:</t>
        </r>
        <r>
          <rPr>
            <sz val="9"/>
            <color indexed="81"/>
            <rFont val="Tahoma"/>
            <family val="2"/>
          </rPr>
          <t xml:space="preserve">
Snijverlies Hub, verdamping/indroging</t>
        </r>
      </text>
    </comment>
    <comment ref="B82" authorId="0" shapeId="0">
      <text>
        <r>
          <rPr>
            <b/>
            <sz val="9"/>
            <color indexed="81"/>
            <rFont val="Tahoma"/>
            <family val="2"/>
          </rPr>
          <t>Bart:</t>
        </r>
        <r>
          <rPr>
            <sz val="9"/>
            <color indexed="81"/>
            <rFont val="Tahoma"/>
            <family val="2"/>
          </rPr>
          <t xml:space="preserve">
Tijd tussen lunches klaar op de Hub en lunchtijd scholen</t>
        </r>
      </text>
    </comment>
  </commentList>
</comments>
</file>

<file path=xl/comments2.xml><?xml version="1.0" encoding="utf-8"?>
<comments xmlns="http://schemas.openxmlformats.org/spreadsheetml/2006/main">
  <authors>
    <author>Bart</author>
  </authors>
  <commentList>
    <comment ref="D6" authorId="0" shapeId="0">
      <text>
        <r>
          <rPr>
            <b/>
            <sz val="9"/>
            <color indexed="81"/>
            <rFont val="Tahoma"/>
            <family val="2"/>
          </rPr>
          <t>Bart:</t>
        </r>
        <r>
          <rPr>
            <sz val="9"/>
            <color indexed="81"/>
            <rFont val="Tahoma"/>
            <family val="2"/>
          </rPr>
          <t xml:space="preserve">
Resultaat afhankelijk van volume gewicht totaal op te halen goederen</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<sst xmlns="http://schemas.openxmlformats.org/spreadsheetml/2006/main" count="1024" uniqueCount="520">
  <si>
    <t>Onderdeel</t>
  </si>
  <si>
    <t>Omschrijving</t>
  </si>
  <si>
    <t>Type</t>
  </si>
  <si>
    <t>Belang</t>
  </si>
  <si>
    <t>Lokaal mogelijk?</t>
  </si>
  <si>
    <t>Little gem (sla)</t>
  </si>
  <si>
    <t>Little gem, doos 6x4 stuks - Vers&amp;zo</t>
  </si>
  <si>
    <t>Groente</t>
  </si>
  <si>
    <t>Regulier</t>
  </si>
  <si>
    <t>ja</t>
  </si>
  <si>
    <t>Komkommer</t>
  </si>
  <si>
    <t>Komkommer 400-500gr per stuk - 12 stuks - Vers&amp;zo</t>
  </si>
  <si>
    <t>Cherrytomatenmix</t>
  </si>
  <si>
    <t>Cherrytomatenmix, doos 1,5 kg - Vers&amp;zo</t>
  </si>
  <si>
    <t>Gele paprika</t>
  </si>
  <si>
    <t>Gele paprika, doos 5 kg - Vers&amp;zo</t>
  </si>
  <si>
    <t>Radijs</t>
  </si>
  <si>
    <t>Hele radijsjes gewassen-bak 500 gram- Vers&amp;Zo</t>
  </si>
  <si>
    <t>Rauwkostmix</t>
  </si>
  <si>
    <t>Italiaanse rauwkost, zak 1 kg - Vers&amp;zo</t>
  </si>
  <si>
    <t>nee</t>
  </si>
  <si>
    <t>Wortel</t>
  </si>
  <si>
    <t>Ontknopte gebroken worteltjes, zak 2,5 kg - Vers&amp;zo</t>
  </si>
  <si>
    <t xml:space="preserve">Rode paprika </t>
  </si>
  <si>
    <t>Rode paprika, doos 5 kg - Vers&amp;zo</t>
  </si>
  <si>
    <t xml:space="preserve">Avocado </t>
  </si>
  <si>
    <t>Avocado klein pak 5 stuks-Vers&amp;Zo</t>
  </si>
  <si>
    <t xml:space="preserve">Bleekselderij </t>
  </si>
  <si>
    <t>Bleekseldrij maat 12 per stuk- Vers&amp;zo</t>
  </si>
  <si>
    <t xml:space="preserve">Mais </t>
  </si>
  <si>
    <t>Crispy mais 0% zout toegevoegd- blik 150 gram- Bonduella</t>
  </si>
  <si>
    <t xml:space="preserve">Rode zoete punt paprika </t>
  </si>
  <si>
    <t>Zoete puntparika- doos 4 kilo- Vers&amp;Zo</t>
  </si>
  <si>
    <t>Rode biet</t>
  </si>
  <si>
    <t>Bieten spaghetti, bak 500gr - Fresh Quality</t>
  </si>
  <si>
    <t>Proefproduct</t>
  </si>
  <si>
    <t>Rettich</t>
  </si>
  <si>
    <t>Rettichsticks - bak 1kg - Vers&amp;zo</t>
  </si>
  <si>
    <t>Nectarine</t>
  </si>
  <si>
    <t>Nectarines, kist 28 stuks</t>
  </si>
  <si>
    <t>Fruit</t>
  </si>
  <si>
    <t>Mandarijn</t>
  </si>
  <si>
    <t>Mandarijn, kist 10 kg</t>
  </si>
  <si>
    <t>Blauwe druiven</t>
  </si>
  <si>
    <t>Blauwe druiven zonder pit, zak 500 gr</t>
  </si>
  <si>
    <t xml:space="preserve">Witte druiven </t>
  </si>
  <si>
    <t>Witte druiven zonder pit, pak 500 gr</t>
  </si>
  <si>
    <t>Jonagold appel</t>
  </si>
  <si>
    <t>Appel jonagold - 11kg - Alle Dag Vers</t>
  </si>
  <si>
    <t>Mango</t>
  </si>
  <si>
    <t>Gesneden mango, 1 kilo</t>
  </si>
  <si>
    <t>Kiwi</t>
  </si>
  <si>
    <t>Kiwi Zespri middel, doos 10 kg</t>
  </si>
  <si>
    <t>Fruitsalade</t>
  </si>
  <si>
    <t>Fruitsalade - bak 1 kg</t>
  </si>
  <si>
    <t>Abrikozen (2 stuks pp)</t>
  </si>
  <si>
    <t>Abrikozen, 500 gram</t>
  </si>
  <si>
    <t>Bramen</t>
  </si>
  <si>
    <t>Bramen uit Nederland, doosje 125 gr</t>
  </si>
  <si>
    <t>Granaatappel</t>
  </si>
  <si>
    <t>Granaatappel - per stuk - Vers&amp;zo</t>
  </si>
  <si>
    <t>Tuttifrutti</t>
  </si>
  <si>
    <t>Tuttifrutti -bak 1kg- DeliXl</t>
  </si>
  <si>
    <t>Bruin brood heel</t>
  </si>
  <si>
    <t xml:space="preserve">Brood heel rond bruin gesneden - 800gr - BB </t>
  </si>
  <si>
    <t>Koolhydraatcomponent</t>
  </si>
  <si>
    <t>Bruin brood half</t>
  </si>
  <si>
    <t>Brood half rond bruin gesneden - 400gr - BB</t>
  </si>
  <si>
    <t>Volkoren brood heel</t>
  </si>
  <si>
    <t>Brood heel volkoren gesneden - 800gr - BB</t>
  </si>
  <si>
    <t>Volkoren brood half</t>
  </si>
  <si>
    <t>Brood half volkoren gesneden - 400gr - BB</t>
  </si>
  <si>
    <t>Bruine bol</t>
  </si>
  <si>
    <t>Bruine bol - 12 stuks 50gr - BB</t>
  </si>
  <si>
    <t xml:space="preserve">Mueslibol </t>
  </si>
  <si>
    <t xml:space="preserve">Muesli-notenbollen zak per 4 stuks </t>
  </si>
  <si>
    <t>Muesli</t>
  </si>
  <si>
    <t xml:space="preserve">Muesli - 4 granen 1 - biologisch - zak 750 gram </t>
  </si>
  <si>
    <t>Knäckebröd</t>
  </si>
  <si>
    <t>Knäckebröd volkoren - doos 375 gram - Plus</t>
  </si>
  <si>
    <t>Knäckebröd volkoren - 12 pakken 260gr - Wasa</t>
  </si>
  <si>
    <t>Wraps</t>
  </si>
  <si>
    <r>
      <t>Tortilla wraps volkoren- 320 gram</t>
    </r>
    <r>
      <rPr>
        <sz val="10"/>
        <rFont val="Arial"/>
        <family val="2"/>
      </rPr>
      <t>-Danderos</t>
    </r>
  </si>
  <si>
    <t xml:space="preserve">Margarine </t>
  </si>
  <si>
    <t>Margarine Original- kuipje 250 gram-Becel</t>
  </si>
  <si>
    <t>Margarine en halvarine</t>
  </si>
  <si>
    <t>Margarine goed begin kuipje van 500 gram</t>
  </si>
  <si>
    <t xml:space="preserve">Halvarine </t>
  </si>
  <si>
    <t xml:space="preserve">
Goede Start!- 500 gram- Blue Band</t>
  </si>
  <si>
    <t>Halvarine kuipje van 500 gram</t>
  </si>
  <si>
    <t>Kaas jong 30+ plakken</t>
  </si>
  <si>
    <t>Jong 30+ kaas plakken-pak 175 gram- Milner</t>
  </si>
  <si>
    <t>Kaas</t>
  </si>
  <si>
    <t xml:space="preserve">Jong 30+ kaas plakken-pak 300 gram- Maaslander </t>
  </si>
  <si>
    <t xml:space="preserve">Jong 30+ plakken-pak 300 gram-De Zaanse Hoeve </t>
  </si>
  <si>
    <t>Geitenkaas</t>
  </si>
  <si>
    <t>Verse geitenkaas spread 45+- per stuk 150 gram- Chavroux Frais</t>
  </si>
  <si>
    <t>Verse geitenkaas naturel schijfjes- per pak 125 gram-Betinne</t>
  </si>
  <si>
    <t>Smeerkaas</t>
  </si>
  <si>
    <t>Smeerkaas balans 15% vet - per kuipje 100 gram - Eru</t>
  </si>
  <si>
    <t xml:space="preserve">Slankie smeerkaas naturel 20+- per kuipje 150 gram- Milner </t>
  </si>
  <si>
    <t>Zuivelspread</t>
  </si>
  <si>
    <t xml:space="preserve">Zuivelspread naturel-kuipje 200 gram-White Lady </t>
  </si>
  <si>
    <t>Zuivelspread naturel light- 200 gram- AH</t>
  </si>
  <si>
    <t>Zuivelspread bieslook</t>
  </si>
  <si>
    <t>Zuivelspread light bieslook- 200 gram- Melkan</t>
  </si>
  <si>
    <t>Zuivelspread bieslook light-200 gram- AH</t>
  </si>
  <si>
    <t>Roomkaas</t>
  </si>
  <si>
    <t>Roomkaas original- kuipje 200 gram-Philadelphia</t>
  </si>
  <si>
    <t>Lactofree Roomkaas Naturel- kuipje 200 gram-Arla</t>
  </si>
  <si>
    <t xml:space="preserve">Hüttenkäse naturel </t>
  </si>
  <si>
    <r>
      <t>Hüttenkäse Original- pak 400 gram- Danone</t>
    </r>
    <r>
      <rPr>
        <b/>
        <sz val="11"/>
        <rFont val="Calibri"/>
        <family val="2"/>
        <scheme val="minor"/>
      </rPr>
      <t xml:space="preserve"> </t>
    </r>
  </si>
  <si>
    <t>Hüttenkäse gegrilde groenten</t>
  </si>
  <si>
    <t xml:space="preserve">Hüttenkase spread gegrilde groente- bak 200 gram- Danone </t>
  </si>
  <si>
    <t>Ricotta</t>
  </si>
  <si>
    <t xml:space="preserve">Ricotta - pot 250 gram- Galbani </t>
  </si>
  <si>
    <t>Halfvolle melk</t>
  </si>
  <si>
    <t>Halfvolle melk-pak 1 liter-Campina</t>
  </si>
  <si>
    <t>Drinken</t>
  </si>
  <si>
    <t>Halfvolle Melkdrank- 1 liter-Melkunie</t>
  </si>
  <si>
    <t>Soja drink/ lactosevrije melk</t>
  </si>
  <si>
    <t xml:space="preserve">Lactofree Halfvolle Melk- 1 Liter-Arla </t>
  </si>
  <si>
    <t xml:space="preserve">Sojadrink Houdbaar 1 Liter-Alpro </t>
  </si>
  <si>
    <t>Halfvolle yoghurt</t>
  </si>
  <si>
    <t xml:space="preserve">Halfvolle Milde Yoghurt- 1 Liter- Campina </t>
  </si>
  <si>
    <t>Milde halfvolle yoghurt- 1 liter- Melkan</t>
  </si>
  <si>
    <t xml:space="preserve">Lactosevrije halvolle yoghurt </t>
  </si>
  <si>
    <t xml:space="preserve">Lactosevrije Halfvolle yoghurt- 1 Liter-Arla </t>
  </si>
  <si>
    <t>Drinkyoghurt banaan, framboos, limoen, aardbei-ker, mango-passievrucht</t>
  </si>
  <si>
    <t xml:space="preserve">Optimel Drinkyoghurt 1000ml- Optimel </t>
  </si>
  <si>
    <t>Drinkyoghurt banaan, framboos, limoen, aardbei-ker, mango-passievrucht- Melkan</t>
  </si>
  <si>
    <t>Drink 0% vet- 1 liter- Melkan</t>
  </si>
  <si>
    <t xml:space="preserve">Spa citroen, framboos, grapefruit, komkommer, mango, munt en peer </t>
  </si>
  <si>
    <t>Sourcy rood....-100cl- sourcy</t>
  </si>
  <si>
    <t>Runderrookvlees</t>
  </si>
  <si>
    <t>Runderrookvlees gesneden circa 56 plakken, bak 500 gr</t>
  </si>
  <si>
    <t>Vleeswaren</t>
  </si>
  <si>
    <t xml:space="preserve">Kalkoenfilet </t>
  </si>
  <si>
    <t xml:space="preserve">Gegrilde kalkoenfilet 2 plakken à 12 gr per folie, bundel 12 folies </t>
  </si>
  <si>
    <t>Kipfilet</t>
  </si>
  <si>
    <t>Kipfilet - 38 plakken - 500gr - Zwanenberg</t>
  </si>
  <si>
    <t xml:space="preserve">Cervelaat </t>
  </si>
  <si>
    <t xml:space="preserve">Rundercervelaat circa 60 plakken, bak 500 gr </t>
  </si>
  <si>
    <t xml:space="preserve">Beenham </t>
  </si>
  <si>
    <t>Beenham circa 20 plakken, bak 500 gr </t>
  </si>
  <si>
    <t>Kipfilet (halal)</t>
  </si>
  <si>
    <t xml:space="preserve">Kipfilet halal - 5 pakken 3 plakjes - 113gr - Massin </t>
  </si>
  <si>
    <t>Boterhamworst (halal)</t>
  </si>
  <si>
    <t xml:space="preserve">Boterhamworst halal - 5 pakken 2 plakjes - 113gr - Massin </t>
  </si>
  <si>
    <t>Kalkoensalami (halal)</t>
  </si>
  <si>
    <t>Kalkoensalami Massin halal - 5 pakken 3 plakjes - Massin</t>
  </si>
  <si>
    <t>Eieren 3x per week</t>
  </si>
  <si>
    <t>Eieren gekookt en gepeld vrije uitloop - emmer 150 stuks - Cocovite</t>
  </si>
  <si>
    <t>Vis en eieren</t>
  </si>
  <si>
    <t>Zalm</t>
  </si>
  <si>
    <t>Gerookte zalm-90 gram- Hendrick's</t>
  </si>
  <si>
    <t>Brain's gerookte sockeye zalm-100 gram -Fish tales</t>
  </si>
  <si>
    <t>Makreel</t>
  </si>
  <si>
    <t>Gestoomde makreel heel MSC, bak 400gr</t>
  </si>
  <si>
    <t>Makreelfilets in water- 125 gram- Princes</t>
  </si>
  <si>
    <t>Tonijn</t>
  </si>
  <si>
    <t>Jacks tonijn in water zonder toegevoegd zout-142 gram - Fish tales</t>
  </si>
  <si>
    <t>Tonijn in water - zak 1,95 kg - La Pulpe</t>
  </si>
  <si>
    <t>Haring</t>
  </si>
  <si>
    <t>Haring in zuur msc bak 20 stuks</t>
  </si>
  <si>
    <t>100% Notenpasta</t>
  </si>
  <si>
    <t>100% Notenpasta amandel- 340 gram-AH</t>
  </si>
  <si>
    <t>Vegetarische producten</t>
  </si>
  <si>
    <t xml:space="preserve">Geroosterde Notenpasta-170 gram- Bio Today </t>
  </si>
  <si>
    <t>Appelstroop</t>
  </si>
  <si>
    <t>Rinse Appelstroop-850 gram- CANISIUS</t>
  </si>
  <si>
    <t xml:space="preserve">Hoemoes naturel </t>
  </si>
  <si>
    <t xml:space="preserve">Hoemoes- 200 gram- Maza </t>
  </si>
  <si>
    <t xml:space="preserve">Jam </t>
  </si>
  <si>
    <t>Jam minder zoet aardbei- pot 295 gram- Hero</t>
  </si>
  <si>
    <t>Hoemoes tomaat</t>
  </si>
  <si>
    <t xml:space="preserve">Hoemoes zongedroogde tomaat- 200 gram- Maza </t>
  </si>
  <si>
    <t>Baba Anoesch</t>
  </si>
  <si>
    <t>Baba Anoesch- 200 gram-Maza</t>
  </si>
  <si>
    <t>100% Pindakaas</t>
  </si>
  <si>
    <t>100% Noot pindakaas-600 gram- Calve</t>
  </si>
  <si>
    <t>100% Pindakaas naturel-600 gram- AH</t>
  </si>
  <si>
    <t>Cashewnoten</t>
  </si>
  <si>
    <t>Cashewnoten ongezouten, bak 1 kg</t>
  </si>
  <si>
    <t>Fruitspread str/br</t>
  </si>
  <si>
    <t>Fruitspread strwa/ bes- 170 gram-Blue Band</t>
  </si>
  <si>
    <t>Fruitspread appel en banaan</t>
  </si>
  <si>
    <t>Fruitspread appel en banaan-170 gram-Blue Band</t>
  </si>
  <si>
    <t>input</t>
  </si>
  <si>
    <t>eenheid</t>
  </si>
  <si>
    <t>Collo</t>
  </si>
  <si>
    <t># Kg per collo</t>
  </si>
  <si>
    <t>Receptuur</t>
  </si>
  <si>
    <t>gram</t>
  </si>
  <si>
    <t>krat I</t>
  </si>
  <si>
    <t>Groente per week:</t>
  </si>
  <si>
    <t xml:space="preserve">Groente per dag </t>
  </si>
  <si>
    <t>Fruit per week:</t>
  </si>
  <si>
    <t>Scholen</t>
  </si>
  <si>
    <t>Aantal deelnemende scholen</t>
  </si>
  <si>
    <t>Aantal leerlingen</t>
  </si>
  <si>
    <t>( =  aflever adressen )</t>
  </si>
  <si>
    <t>Aantal klassen / groepen</t>
  </si>
  <si>
    <t>Gem aantal leerlingen per klas</t>
  </si>
  <si>
    <t>( niet alle leerlingen doen mee per klas)</t>
  </si>
  <si>
    <t>Gemiddeld aantal dagen per week lunch</t>
  </si>
  <si>
    <t>Collectie Tuinders</t>
  </si>
  <si>
    <t>collo</t>
  </si>
  <si>
    <t>Volume</t>
  </si>
  <si>
    <t>Krat I</t>
  </si>
  <si>
    <r>
      <t>M</t>
    </r>
    <r>
      <rPr>
        <vertAlign val="superscript"/>
        <sz val="11"/>
        <color theme="1"/>
        <rFont val="Calibri"/>
        <family val="2"/>
        <scheme val="minor"/>
      </rPr>
      <t>2</t>
    </r>
  </si>
  <si>
    <t>Krat II</t>
  </si>
  <si>
    <t>Krat III</t>
  </si>
  <si>
    <t>Krat IV</t>
  </si>
  <si>
    <t>Rondrit:</t>
  </si>
  <si>
    <t>Volume Transport busje</t>
  </si>
  <si>
    <t>Max laadgewicht transport busje</t>
  </si>
  <si>
    <t>Kg</t>
  </si>
  <si>
    <t>Aantal stops per uur (incl. laden lossen)</t>
  </si>
  <si>
    <t>Uren beschikbaar per busje per dag</t>
  </si>
  <si>
    <t>Afstand tussen de stops</t>
  </si>
  <si>
    <t>Km</t>
  </si>
  <si>
    <t>Final Mile</t>
  </si>
  <si>
    <t>Final mile</t>
  </si>
  <si>
    <t>Aantal stops per uur</t>
  </si>
  <si>
    <t>Volume per auto</t>
  </si>
  <si>
    <t>M3</t>
  </si>
  <si>
    <t>Beschikbare tijd:</t>
  </si>
  <si>
    <t>uur</t>
  </si>
  <si>
    <t>Afstand tussen scholen:</t>
  </si>
  <si>
    <t>Volume van 1 lunch per kind gem:</t>
  </si>
  <si>
    <t>aantal leerlingen:</t>
  </si>
  <si>
    <t>totaal gewicht groente</t>
  </si>
  <si>
    <t>totaal volume</t>
  </si>
  <si>
    <t>aantal stops:</t>
  </si>
  <si>
    <t>totaal gewicht fruit</t>
  </si>
  <si>
    <t>Duur rit:</t>
  </si>
  <si>
    <t>totaal gewicht</t>
  </si>
  <si>
    <t>aantal Km:</t>
  </si>
  <si>
    <t>onderdeel</t>
  </si>
  <si>
    <t>hoeveelheid per kind per week gemiddeld (gram)</t>
  </si>
  <si>
    <t># collo per week</t>
  </si>
  <si>
    <t>totaal:</t>
  </si>
  <si>
    <t>aantal afleveradressen:</t>
  </si>
  <si>
    <t>m3</t>
  </si>
  <si>
    <t>Berekeningen:</t>
  </si>
  <si>
    <t>Volume per stop:</t>
  </si>
  <si>
    <t>Tijd</t>
  </si>
  <si>
    <t>Kosten distributie:</t>
  </si>
  <si>
    <t>personeel (obv uren)</t>
  </si>
  <si>
    <t>auto (obv Km)</t>
  </si>
  <si>
    <t>Aantal scholen</t>
  </si>
  <si>
    <t>Aantal lunches per week</t>
  </si>
  <si>
    <t>Volume vrachtwagen (bakwagen)</t>
  </si>
  <si>
    <t>Max laadgewicht vrachtwagen</t>
  </si>
  <si>
    <t>kg</t>
  </si>
  <si>
    <r>
      <t>M</t>
    </r>
    <r>
      <rPr>
        <vertAlign val="superscript"/>
        <sz val="11"/>
        <color theme="1"/>
        <rFont val="Calibri"/>
        <family val="2"/>
        <scheme val="minor"/>
      </rPr>
      <t>3</t>
    </r>
  </si>
  <si>
    <t>Autokosten transportbusje per Km</t>
  </si>
  <si>
    <t>Autokosten vrachtwagen per Km</t>
  </si>
  <si>
    <t>Personeelskosten per uur transportbusje</t>
  </si>
  <si>
    <t>Personeelskosten per uur vrachtwagen</t>
  </si>
  <si>
    <t>Uren beschikbaar per vrachtwagen per dag</t>
  </si>
  <si>
    <t>Vrachtwagen</t>
  </si>
  <si>
    <t>Busje</t>
  </si>
  <si>
    <t>Collectierit tuinders</t>
  </si>
  <si>
    <t>Productie Hub</t>
  </si>
  <si>
    <t>Versheid</t>
  </si>
  <si>
    <t>Efficiëntie</t>
  </si>
  <si>
    <t>Transportbusje</t>
  </si>
  <si>
    <t>Transportmiddel</t>
  </si>
  <si>
    <t>Kosten collectierit</t>
  </si>
  <si>
    <t>Per Lunch</t>
  </si>
  <si>
    <t>Per lunch</t>
  </si>
  <si>
    <t>Auto</t>
  </si>
  <si>
    <t>Fietskoerier</t>
  </si>
  <si>
    <t>Aantal stops per uur auto</t>
  </si>
  <si>
    <t>Aantal stops per uur transportbusje</t>
  </si>
  <si>
    <t>Volume per transportbusje</t>
  </si>
  <si>
    <t>Aantal stop per uur fiets koerier</t>
  </si>
  <si>
    <t>Volume per fietskoerier</t>
  </si>
  <si>
    <t>Kn per Km auto</t>
  </si>
  <si>
    <t>Kn per Km transportbusje</t>
  </si>
  <si>
    <t>Kn per Km fietskoerier</t>
  </si>
  <si>
    <t>Volume per transportmiddel</t>
  </si>
  <si>
    <t>Kosten per kilometer</t>
  </si>
  <si>
    <t>Kosten per uur</t>
  </si>
  <si>
    <t>distributiekosten final mile per lunch:</t>
  </si>
  <si>
    <t>Per school</t>
  </si>
  <si>
    <t>Aantal bezorgers</t>
  </si>
  <si>
    <t>Totaal</t>
  </si>
  <si>
    <t>Logistieke kosten</t>
  </si>
  <si>
    <t>Uitserveren op school</t>
  </si>
  <si>
    <t>Broodtrommel</t>
  </si>
  <si>
    <t>Medewerker hub</t>
  </si>
  <si>
    <t>Groep 8</t>
  </si>
  <si>
    <t>Aantal klassen</t>
  </si>
  <si>
    <t xml:space="preserve">Uitserveren op school </t>
  </si>
  <si>
    <t>minuten</t>
  </si>
  <si>
    <t>Kosten per uur medewerker Hub</t>
  </si>
  <si>
    <t>Totaal benodigde tijd</t>
  </si>
  <si>
    <t>Benodigde tijd per klas broodtrommel</t>
  </si>
  <si>
    <t>Benodigde tijd per klas uitserveren</t>
  </si>
  <si>
    <t>Beschikbare tijd in uren</t>
  </si>
  <si>
    <t>Benodigde tijd per klas in minuten</t>
  </si>
  <si>
    <t>Kosten uitserveren per school</t>
  </si>
  <si>
    <t>Kosten uitserveren per lunch</t>
  </si>
  <si>
    <t>per week</t>
  </si>
  <si>
    <t>Productie hub</t>
  </si>
  <si>
    <t>Uurtarief professional</t>
  </si>
  <si>
    <t>Inkoop kosten</t>
  </si>
  <si>
    <t>Totale kosten</t>
  </si>
  <si>
    <t>Bakwagen</t>
  </si>
  <si>
    <t>Emballage</t>
  </si>
  <si>
    <t>Controle op hoeveelheden per kind (gem):</t>
  </si>
  <si>
    <t>Aantal bezorgers beschikbaar</t>
  </si>
  <si>
    <t>Beschikbare tijd tussen de middag</t>
  </si>
  <si>
    <t>Totaal volume per dag</t>
  </si>
  <si>
    <t>Aantal ritten nodig obv</t>
  </si>
  <si>
    <t>Aantal parrallele uitserveeropstellingen</t>
  </si>
  <si>
    <t>Aantal leveringen per week obv versheid</t>
  </si>
  <si>
    <t>Naam teler</t>
  </si>
  <si>
    <t>PC teler (ivm berekening afstand)</t>
  </si>
  <si>
    <t>Omrekening van Netto naar Bruto</t>
  </si>
  <si>
    <t>Kosten voeding lokaal</t>
  </si>
  <si>
    <t>Waarvan lokaal:</t>
  </si>
  <si>
    <t>Schalen per klas</t>
  </si>
  <si>
    <t>Groep 8 / schalen</t>
  </si>
  <si>
    <r>
      <t>Volume rit 1 in M</t>
    </r>
    <r>
      <rPr>
        <b/>
        <vertAlign val="superscript"/>
        <sz val="11"/>
        <color theme="1"/>
        <rFont val="Calibri"/>
        <family val="2"/>
        <scheme val="minor"/>
      </rPr>
      <t>3</t>
    </r>
  </si>
  <si>
    <r>
      <t>Volume rit 2 in M</t>
    </r>
    <r>
      <rPr>
        <b/>
        <vertAlign val="superscript"/>
        <sz val="11"/>
        <color theme="1"/>
        <rFont val="Calibri"/>
        <family val="2"/>
        <scheme val="minor"/>
      </rPr>
      <t>3</t>
    </r>
  </si>
  <si>
    <r>
      <t>Volume rit 3 in M</t>
    </r>
    <r>
      <rPr>
        <b/>
        <vertAlign val="superscript"/>
        <sz val="11"/>
        <color theme="1"/>
        <rFont val="Calibri"/>
        <family val="2"/>
        <scheme val="minor"/>
      </rPr>
      <t>3</t>
    </r>
  </si>
  <si>
    <t>uitgangspunt:  collectie rit kan zo gepland worden dat de hoeveelheden evenredig verdeeld worden over de twee of drie ritten.</t>
  </si>
  <si>
    <t>Max aantal ritten:</t>
  </si>
  <si>
    <t>Volume per rit:</t>
  </si>
  <si>
    <t>Gewicht per rit:</t>
  </si>
  <si>
    <t>max volume</t>
  </si>
  <si>
    <t>max gewicht</t>
  </si>
  <si>
    <t>Vervoer met:</t>
  </si>
  <si>
    <t>Per rit:</t>
  </si>
  <si>
    <t>Totale KM</t>
  </si>
  <si>
    <t>Totale Tijd</t>
  </si>
  <si>
    <t>Alle ritten</t>
  </si>
  <si>
    <t>Kosten:</t>
  </si>
  <si>
    <t>Autokosten per Km</t>
  </si>
  <si>
    <t>Personeelskosten per Uur:</t>
  </si>
  <si>
    <t>Collectie kosten per lunch per kind:</t>
  </si>
  <si>
    <t>totale kosten:</t>
  </si>
  <si>
    <t>uren</t>
  </si>
  <si>
    <t>Per lunch:</t>
  </si>
  <si>
    <t>hoogte</t>
  </si>
  <si>
    <t>breedte</t>
  </si>
  <si>
    <t>lengte</t>
  </si>
  <si>
    <t>Tuinders nieuw</t>
  </si>
  <si>
    <t>sheet:</t>
  </si>
  <si>
    <t>Input</t>
  </si>
  <si>
    <t>Fruit per dag:</t>
  </si>
  <si>
    <t>ter info:</t>
  </si>
  <si>
    <t>Aantal lunches pw:</t>
  </si>
  <si>
    <t>Kosten distributierit</t>
  </si>
  <si>
    <t>Opbrengst tuinder pw</t>
  </si>
  <si>
    <t>Volume pw</t>
  </si>
  <si>
    <r>
      <t xml:space="preserve">Opmerking:  deze sheet dient alleen ter informatie, het is </t>
    </r>
    <r>
      <rPr>
        <b/>
        <u/>
        <sz val="18"/>
        <color rgb="FFFF0000"/>
        <rFont val="Arial"/>
        <family val="2"/>
      </rPr>
      <t>geen</t>
    </r>
    <r>
      <rPr>
        <b/>
        <sz val="18"/>
        <color rgb="FFFF0000"/>
        <rFont val="Arial"/>
        <family val="2"/>
      </rPr>
      <t xml:space="preserve"> onderdeel van het model</t>
    </r>
  </si>
  <si>
    <t>min</t>
  </si>
  <si>
    <t>Netto productietijd per lunch in min</t>
  </si>
  <si>
    <t>Management opslag (voorbereiding)</t>
  </si>
  <si>
    <t>Dit zijn alle ingredienten en verpakkingsmateriaal.</t>
  </si>
  <si>
    <t>Inkoop kosten per lunch</t>
  </si>
  <si>
    <t>Berekeningen van de hub:</t>
  </si>
  <si>
    <t>Aantal werkdagen op de Hub</t>
  </si>
  <si>
    <t>Vaste kosten Hub per werkdag</t>
  </si>
  <si>
    <t>vanuit input:</t>
  </si>
  <si>
    <t>Netto Productietijd</t>
  </si>
  <si>
    <t>Management opslag</t>
  </si>
  <si>
    <t>Loonkosten:</t>
  </si>
  <si>
    <t>vaste kosten:</t>
  </si>
  <si>
    <t>totaal per week:</t>
  </si>
  <si>
    <t>toeslag voor volume (drank etc)</t>
  </si>
  <si>
    <t xml:space="preserve">Bewerkingskosten </t>
  </si>
  <si>
    <t>(van de hub)</t>
  </si>
  <si>
    <t>naar input:</t>
  </si>
  <si>
    <t>naar berekening</t>
  </si>
  <si>
    <t>Bezetting in % van 1 transportmiddel obv volume</t>
  </si>
  <si>
    <t>Bezetting in % van 1 transportmiddel obv tijd</t>
  </si>
  <si>
    <t>naar input</t>
  </si>
  <si>
    <t>totaal aantal stops (incl retour hub):</t>
  </si>
  <si>
    <t>Documentatie</t>
  </si>
  <si>
    <t>afstand tussen de stops</t>
  </si>
  <si>
    <t>Collectiekosten per lunch:</t>
  </si>
  <si>
    <t>Dashboard</t>
  </si>
  <si>
    <t>serveren:</t>
  </si>
  <si>
    <t>Wijze van</t>
  </si>
  <si>
    <t>uitserveren:</t>
  </si>
  <si>
    <t>Kosten</t>
  </si>
  <si>
    <t>Afmetingen ISO koel box:</t>
  </si>
  <si>
    <t>Kn per uur auto (loon)</t>
  </si>
  <si>
    <t>Kn per uur transportbusje (loon)</t>
  </si>
  <si>
    <t>Kn per uur fietskoerier (loon)</t>
  </si>
  <si>
    <t>Aantal ritten obv max van volume of tijd:</t>
  </si>
  <si>
    <t>Min:</t>
  </si>
  <si>
    <t>Totaal benodigde tijd in uren voor uitvoering ritten:</t>
  </si>
  <si>
    <t>Aantal benodigde bezorgers:</t>
  </si>
  <si>
    <t>Aantal beschikbare bezorgers</t>
  </si>
  <si>
    <t>aantal bezorgers benodigd</t>
  </si>
  <si>
    <t>benodigd</t>
  </si>
  <si>
    <t>Benodigde tijd tm laatste stop:</t>
  </si>
  <si>
    <t>Aantal stops per rit (excl. retour hub):</t>
  </si>
  <si>
    <t xml:space="preserve">Maximaal aantal stops per rit </t>
  </si>
  <si>
    <t xml:space="preserve">Overig aantal stops per rit </t>
  </si>
  <si>
    <t xml:space="preserve">Benodigde tijd totaal </t>
  </si>
  <si>
    <t xml:space="preserve">Aantal ritten met max stops. </t>
  </si>
  <si>
    <t>Aantal ritten met min stops</t>
  </si>
  <si>
    <t>Tijd per max rit (incl. retour hub)</t>
  </si>
  <si>
    <t>Tijd per min rit (incl. retour hub)</t>
  </si>
  <si>
    <t>Aantal max ritten per bezorger</t>
  </si>
  <si>
    <t>Aantal bezorgers max ritten</t>
  </si>
  <si>
    <t>Aantal bezorgers min ritten</t>
  </si>
  <si>
    <t>Totaal aantal bezorgers</t>
  </si>
  <si>
    <t xml:space="preserve"> --&gt; dit gaat naar het dashboard</t>
  </si>
  <si>
    <t>Bruto hoeveelheid per week (Kg)</t>
  </si>
  <si>
    <t xml:space="preserve">  +</t>
  </si>
  <si>
    <t>Aantal_Deelnemende_Scholen</t>
  </si>
  <si>
    <t>Aantal_stops_per_uur_auto</t>
  </si>
  <si>
    <t>Netto_productietijd_per_lunch_i</t>
  </si>
  <si>
    <t>Basis</t>
  </si>
  <si>
    <t>Changing Cells:</t>
  </si>
  <si>
    <t>Current Values:</t>
  </si>
  <si>
    <t>Result Cells:</t>
  </si>
  <si>
    <t>Notes:  Current Values column represents values of changing cells at</t>
  </si>
  <si>
    <t>time Scenario Summary Report was created.  Changing cells for each</t>
  </si>
  <si>
    <t>scenario are highlighted in gray.</t>
  </si>
  <si>
    <t>DB collectiekosten tuinders</t>
  </si>
  <si>
    <t>DB productie kosten hub</t>
  </si>
  <si>
    <t>DB logistieke kosten final mile</t>
  </si>
  <si>
    <t>DB Inkoopkosten</t>
  </si>
  <si>
    <t>DB totale kosten dashboard</t>
  </si>
  <si>
    <t>DB_collectiekosten_tuinders</t>
  </si>
  <si>
    <t>DB_productie_kosten_hub</t>
  </si>
  <si>
    <t>DB_logistieke_kosten_final_mile</t>
  </si>
  <si>
    <t>DB_Inkoopkosten</t>
  </si>
  <si>
    <t>DB_totale_kosten_dashboard</t>
  </si>
  <si>
    <t>Kosten van de hub excl inkoop:</t>
  </si>
  <si>
    <t>tot kosten</t>
  </si>
  <si>
    <t>Kosten final Mile</t>
  </si>
  <si>
    <t>alleen busje</t>
  </si>
  <si>
    <t>als %</t>
  </si>
  <si>
    <t>collectiekosten</t>
  </si>
  <si>
    <t>type</t>
  </si>
  <si>
    <t xml:space="preserve">Wijze van uitlevering: </t>
  </si>
  <si>
    <t>MB Citan</t>
  </si>
  <si>
    <t>MB Sprinter</t>
  </si>
  <si>
    <t>Collectiekosten per lunch per kind</t>
  </si>
  <si>
    <t>gele paprika</t>
  </si>
  <si>
    <t>rode paprika</t>
  </si>
  <si>
    <t>Aantal leveringen obv versheid:  1, 2 of 3x per week</t>
  </si>
  <si>
    <t xml:space="preserve"> ===&gt; zeer gering !</t>
  </si>
  <si>
    <t>toename max</t>
  </si>
  <si>
    <t>Afstand tussen scholen</t>
  </si>
  <si>
    <t>productie</t>
  </si>
  <si>
    <t xml:space="preserve">tijd per </t>
  </si>
  <si>
    <t>lunch</t>
  </si>
  <si>
    <t>gem uurloon professional</t>
  </si>
  <si>
    <t>Afstand tussen de scholen</t>
  </si>
  <si>
    <t>aantal scholen</t>
  </si>
  <si>
    <t xml:space="preserve">aantal </t>
  </si>
  <si>
    <t>scholen</t>
  </si>
  <si>
    <t>afstand tussen de scholen</t>
  </si>
  <si>
    <t>per</t>
  </si>
  <si>
    <t>aantal stops</t>
  </si>
  <si>
    <t>stops</t>
  </si>
  <si>
    <t>benodigde</t>
  </si>
  <si>
    <t>tijd per</t>
  </si>
  <si>
    <t>klas om uit</t>
  </si>
  <si>
    <t>te serveren</t>
  </si>
  <si>
    <t>Uurtarief_professional</t>
  </si>
  <si>
    <t>Kosten_per_uur_uitserveren_op_s</t>
  </si>
  <si>
    <t>DB uitserveerkosten</t>
  </si>
  <si>
    <t>DB_uitserveerkosten</t>
  </si>
  <si>
    <t>Created by Bart on 29-11-2021
Modified by Bart on 29-11-2021
Modified by Bart on 30-11-2021
Modified by Titulaer,Bart J.B.M. on 30-11-2021</t>
  </si>
  <si>
    <t>Created by Bart on 29-11-2021
Modified by Titulaer,Bart J.B.M. on 30-11-2021</t>
  </si>
  <si>
    <t>Created by Bart on 29-11-2021
Modified by Bart on 29-11-2021
Modified by Titulaer,Bart J.B.M. on 30-11-2021</t>
  </si>
  <si>
    <t>Created by Bart on 29-11-2021
Modified by Bart on 30-11-2021
Modified by Titulaer,Bart J.B.M. on 30-11-2021</t>
  </si>
  <si>
    <t>Modified by Bart on 29-11-2021
Modified by Titulaer,Bart J.B.M. on 30-11-2021</t>
  </si>
  <si>
    <t>Prijs per Kg voor tuinder</t>
  </si>
  <si>
    <r>
      <rPr>
        <b/>
        <sz val="12"/>
        <color theme="1"/>
        <rFont val="Calibri"/>
        <family val="2"/>
        <scheme val="minor"/>
      </rPr>
      <t xml:space="preserve">hoeveelheid per kind per </t>
    </r>
    <r>
      <rPr>
        <u/>
        <sz val="12"/>
        <color theme="1"/>
        <rFont val="Arial"/>
        <family val="2"/>
      </rPr>
      <t>week</t>
    </r>
    <r>
      <rPr>
        <sz val="12"/>
        <color theme="1"/>
        <rFont val="Arial"/>
        <family val="2"/>
      </rPr>
      <t xml:space="preserve"> </t>
    </r>
    <r>
      <rPr>
        <b/>
        <sz val="11"/>
        <color theme="1"/>
        <rFont val="Arial"/>
        <family val="2"/>
      </rPr>
      <t>gemiddeld</t>
    </r>
  </si>
  <si>
    <t>krat II</t>
  </si>
  <si>
    <t>krat III</t>
  </si>
  <si>
    <t>Totaal aantal stops:</t>
  </si>
  <si>
    <t>dit deel komt uit input.</t>
  </si>
  <si>
    <t>Kosten per uur broodtrommel/schalen</t>
  </si>
  <si>
    <t xml:space="preserve"> +</t>
  </si>
  <si>
    <t>Hub</t>
  </si>
  <si>
    <t>Tuinders</t>
  </si>
  <si>
    <t>Uitserveren</t>
  </si>
  <si>
    <t>Legenda</t>
  </si>
  <si>
    <t>Input cel, staat alleen op het blad Input.</t>
  </si>
  <si>
    <t>Berekening</t>
  </si>
  <si>
    <t>Kleuren op ingredientenlijst</t>
  </si>
  <si>
    <t>Opmaak:</t>
  </si>
  <si>
    <t>Invoer:</t>
  </si>
  <si>
    <t>Toelichting</t>
  </si>
  <si>
    <t>Logistieke kosten per lunch bij verschillende scenario's</t>
  </si>
  <si>
    <t>een simpele verwijzing is ook mogelijk</t>
  </si>
  <si>
    <t>per week (per kind)</t>
  </si>
  <si>
    <t>Per Lunch (per kind)</t>
  </si>
  <si>
    <t>Per school (per levering)</t>
  </si>
  <si>
    <t>Dit project is medegefinancierd door Regieorgaan SIA onderdeel van de Nederlandse Organisatie voor Wetenschappelijk Onderzoek (NWO).</t>
  </si>
  <si>
    <t>Fontys onderzoekers:</t>
  </si>
  <si>
    <t>Guy Somers MSc.</t>
  </si>
  <si>
    <t>Drs. Bart Titulaer</t>
  </si>
  <si>
    <t>Dr. Victor Verboeket</t>
  </si>
  <si>
    <t>Datum oplevering:</t>
  </si>
  <si>
    <t>Disclaimer:</t>
  </si>
  <si>
    <t>versie:</t>
  </si>
  <si>
    <t>Dit model is met grote zorgvuldigheid opgesteld. Het staat de gebruiker vrij om dit model te gebruiken. Aan het</t>
  </si>
  <si>
    <t>model, de formules en de gebruikte parameters kunnen geen rechten worden ontleend, de onderzoekers</t>
  </si>
  <si>
    <t>kunnen niet aansprakelijk gesteld worden voor de uitkomsten van het model.</t>
  </si>
  <si>
    <t>Formules en tabbladen zijn NIET beveiligd, het staat de gebruiker vrij om het model aan te passen.</t>
  </si>
  <si>
    <t>Opmerking:</t>
  </si>
  <si>
    <t>materialen, zoals door de gebruiker ingegeven bij input hub.</t>
  </si>
  <si>
    <r>
      <t xml:space="preserve">De inkoopkosten zijn </t>
    </r>
    <r>
      <rPr>
        <b/>
        <u/>
        <sz val="11"/>
        <color theme="1"/>
        <rFont val="Calibri"/>
        <family val="2"/>
        <scheme val="minor"/>
      </rPr>
      <t>geen resultaat van een berekening</t>
    </r>
    <r>
      <rPr>
        <sz val="11"/>
        <color theme="1"/>
        <rFont val="Calibri"/>
        <family val="2"/>
        <scheme val="minor"/>
      </rPr>
      <t xml:space="preserve"> maar dit is de inkoopwaarde van alle</t>
    </r>
  </si>
  <si>
    <t>zie link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</si>
</sst>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0">
    <numFmt numFmtId="8" formatCode="&quot;€&quot;\ #,##0.00;[Red]&quot;€&quot;\ \-#,##0.00"/>
    <numFmt numFmtId="44" formatCode="_ &quot;€&quot;\ * #,##0.00_ ;_ &quot;€&quot;\ * \-#,##0.00_ ;_ &quot;€&quot;\ * &quot;-&quot;??_ ;_ @_ "/>
    <numFmt numFmtId="43" formatCode="_ * #,##0.00_ ;_ * \-#,##0.00_ ;_ * &quot;-&quot;??_ ;_ @_ "/>
    <numFmt numFmtId="164" formatCode="0.0"/>
    <numFmt numFmtId="165" formatCode="_ * #,##0_ ;_ * \-#,##0_ ;_ * &quot;-&quot;??_ ;_ @_ "/>
    <numFmt numFmtId="166" formatCode="0.00\ &quot;M3&quot;"/>
    <numFmt numFmtId="167" formatCode="0.0\ &quot;M3&quot;"/>
    <numFmt numFmtId="168" formatCode="0.0\ &quot; uur&quot;"/>
    <numFmt numFmtId="169" formatCode="0\ &quot;Kg&quot;"/>
    <numFmt numFmtId="170" formatCode="_ * #,##0.0_ ;_ * \-#,##0.0_ ;_ * &quot;-&quot;??_ ;_ @_ "/>
    <numFmt numFmtId="171" formatCode="_ &quot;€&quot;\ * #,##0.000_ ;_ &quot;€&quot;\ * \-#,##0.000_ ;_ &quot;€&quot;\ * &quot;-&quot;??_ ;_ @_ "/>
    <numFmt numFmtId="172" formatCode="_ &quot;€&quot;\ * #,##0.00000_ ;_ &quot;€&quot;\ * \-#,##0.00000_ ;_ &quot;€&quot;\ * &quot;-&quot;??_ ;_ @_ "/>
    <numFmt numFmtId="173" formatCode="_ &quot;€&quot;\ * #,##0.0_ ;_ &quot;€&quot;\ * \-#,##0.0_ ;_ &quot;€&quot;\ * &quot;-&quot;??_ ;_ @_ "/>
    <numFmt numFmtId="174" formatCode="0.0%"/>
    <numFmt numFmtId="175" formatCode="_ &quot;€&quot;\ * #,##0_ ;_ &quot;€&quot;\ * \-#,##0_ ;_ &quot;€&quot;\ * &quot;-&quot;??_ ;_ @_ "/>
    <numFmt numFmtId="176" formatCode="0.00&quot; per kind pw&quot;\ "/>
    <numFmt numFmtId="177" formatCode="&quot;dit is &quot;0.0\ %"/>
    <numFmt numFmtId="178" formatCode="0.000\ &quot;M3&quot;"/>
    <numFmt numFmtId="179" formatCode="_(* #,##0.0_);_(* \(#,##0.0\);_(* &quot;-&quot;?_);_(@_)"/>
    <numFmt numFmtId="180" formatCode="_ * #,##0.000_ ;_ * \-#,##0.000_ ;_ * &quot;-&quot;??_ ;_ @_ "/>
    <numFmt numFmtId="181" formatCode="_ * #,##0.0_ ;_ * \-#,##0.0_ ;_ * &quot;-&quot;?_ ;_ @_ "/>
    <numFmt numFmtId="182" formatCode="0.0000"/>
    <numFmt numFmtId="183" formatCode="_ * #,##0.000_ ;_ * \-#,##0.000_ ;_ * &quot;-&quot;???_ ;_ @_ "/>
    <numFmt numFmtId="184" formatCode="_([$€-2]\ * #,##0.00_);_([$€-2]\ * \(#,##0.00\);_([$€-2]\ * &quot;-&quot;??_);_(@_)"/>
    <numFmt numFmtId="185" formatCode="_([$€-2]\ * #,##0.000_);_([$€-2]\ * \(#,##0.000\);_([$€-2]\ * &quot;-&quot;??_);_(@_)"/>
    <numFmt numFmtId="186" formatCode="&quot;€&quot;\ #,##0.000;[Red]&quot;€&quot;\ \-#,##0.000"/>
    <numFmt numFmtId="187" formatCode="&quot;€&quot;\ #,##0.0;[Red]&quot;€&quot;\ \-#,##0.0"/>
    <numFmt numFmtId="188" formatCode="&quot;€&quot;\ #,##0.000000;[Red]&quot;€&quot;\ \-#,##0.000000"/>
    <numFmt numFmtId="189" formatCode="0;;;"/>
    <numFmt numFmtId="190" formatCode="_ * #,##0.000000_ ;_ * \-#,##0.000000_ ;_ * &quot;-&quot;??_ ;_ @_ "/>
  </numFmts>
  <fonts count="49" x14ac:knownFonts="1">
    <font>
      <sz val="11"/>
      <color theme="1"/>
      <name val="Calibri"/>
      <family val="2"/>
      <scheme val="minor"/>
    </font>
    <font>
      <sz val="11"/>
      <color theme="1"/>
      <name val="Calibri"/>
      <family val="2"/>
      <scheme val="minor"/>
    </font>
    <font>
      <sz val="11"/>
      <color rgb="FF3F3F76"/>
      <name val="Calibri"/>
      <family val="2"/>
      <scheme val="minor"/>
    </font>
    <font>
      <b/>
      <sz val="11"/>
      <color rgb="FFFA7D00"/>
      <name val="Calibri"/>
      <family val="2"/>
      <scheme val="minor"/>
    </font>
    <font>
      <b/>
      <sz val="11"/>
      <color theme="1"/>
      <name val="Calibri"/>
      <family val="2"/>
      <scheme val="minor"/>
    </font>
    <font>
      <sz val="10"/>
      <color theme="1"/>
      <name val="Arial"/>
      <family val="2"/>
    </font>
    <font>
      <b/>
      <sz val="10"/>
      <color theme="1"/>
      <name val="Arial"/>
      <family val="2"/>
    </font>
    <font>
      <sz val="10"/>
      <color theme="0"/>
      <name val="Arial"/>
      <family val="2"/>
    </font>
    <font>
      <sz val="10"/>
      <name val="Arial"/>
      <family val="2"/>
    </font>
    <font>
      <sz val="10"/>
      <color rgb="FF9C0006"/>
      <name val="Arial"/>
      <family val="2"/>
    </font>
    <font>
      <sz val="10"/>
      <color rgb="FFFF0000"/>
      <name val="Arial"/>
      <family val="2"/>
    </font>
    <font>
      <sz val="11"/>
      <name val="Calibri"/>
      <family val="2"/>
      <scheme val="minor"/>
    </font>
    <font>
      <sz val="10"/>
      <name val="Calibri"/>
      <family val="2"/>
      <scheme val="minor"/>
    </font>
    <font>
      <sz val="11"/>
      <color rgb="FF262626"/>
      <name val="Calibri"/>
      <family val="2"/>
      <scheme val="minor"/>
    </font>
    <font>
      <b/>
      <sz val="11"/>
      <name val="Calibri"/>
      <family val="2"/>
      <scheme val="minor"/>
    </font>
    <font>
      <sz val="14"/>
      <color theme="1"/>
      <name val="Arial"/>
      <family val="2"/>
    </font>
    <font>
      <sz val="16"/>
      <name val="Arial"/>
      <family val="2"/>
    </font>
    <font>
      <sz val="11"/>
      <color rgb="FFFF0000"/>
      <name val="Calibri"/>
      <family val="2"/>
      <scheme val="minor"/>
    </font>
    <font>
      <vertAlign val="superscript"/>
      <sz val="11"/>
      <color theme="1"/>
      <name val="Calibri"/>
      <family val="2"/>
      <scheme val="minor"/>
    </font>
    <font>
      <sz val="9"/>
      <color indexed="81"/>
      <name val="Tahoma"/>
      <family val="2"/>
    </font>
    <font>
      <b/>
      <sz val="9"/>
      <color indexed="81"/>
      <name val="Tahoma"/>
      <family val="2"/>
    </font>
    <font>
      <b/>
      <sz val="11"/>
      <color rgb="FFFF0000"/>
      <name val="Calibri"/>
      <family val="2"/>
      <scheme val="minor"/>
    </font>
    <font>
      <b/>
      <sz val="10"/>
      <color rgb="FF3F3F3F"/>
      <name val="Arial"/>
      <family val="2"/>
    </font>
    <font>
      <sz val="11"/>
      <color theme="9" tint="0.79998168889431442"/>
      <name val="Calibri"/>
      <family val="2"/>
      <scheme val="minor"/>
    </font>
    <font>
      <b/>
      <sz val="11"/>
      <color theme="9" tint="-0.249977111117893"/>
      <name val="Calibri"/>
      <family val="2"/>
      <scheme val="minor"/>
    </font>
    <font>
      <sz val="8"/>
      <name val="Calibri"/>
      <family val="2"/>
      <scheme val="minor"/>
    </font>
    <font>
      <b/>
      <sz val="10"/>
      <color theme="1"/>
      <name val="Calibri"/>
      <family val="2"/>
      <scheme val="minor"/>
    </font>
    <font>
      <b/>
      <vertAlign val="superscript"/>
      <sz val="11"/>
      <color theme="1"/>
      <name val="Calibri"/>
      <family val="2"/>
      <scheme val="minor"/>
    </font>
    <font>
      <b/>
      <sz val="12"/>
      <color theme="1"/>
      <name val="Calibri"/>
      <family val="2"/>
      <scheme val="minor"/>
    </font>
    <font>
      <b/>
      <sz val="18"/>
      <color rgb="FFFF0000"/>
      <name val="Arial"/>
      <family val="2"/>
    </font>
    <font>
      <b/>
      <u/>
      <sz val="18"/>
      <color rgb="FFFF0000"/>
      <name val="Arial"/>
      <family val="2"/>
    </font>
    <font>
      <sz val="12"/>
      <color theme="1"/>
      <name val="Calibri"/>
      <family val="2"/>
      <scheme val="minor"/>
    </font>
    <font>
      <u/>
      <sz val="11"/>
      <color theme="10"/>
      <name val="Calibri"/>
      <family val="2"/>
      <scheme val="minor"/>
    </font>
    <font>
      <sz val="11"/>
      <color theme="0"/>
      <name val="Calibri"/>
      <family val="2"/>
      <scheme val="minor"/>
    </font>
    <font>
      <sz val="10"/>
      <color indexed="9"/>
      <name val="Calibri"/>
      <family val="2"/>
      <scheme val="minor"/>
    </font>
    <font>
      <sz val="8"/>
      <color theme="1"/>
      <name val="Calibri"/>
      <family val="2"/>
      <scheme val="minor"/>
    </font>
    <font>
      <b/>
      <sz val="12"/>
      <color indexed="9"/>
      <name val="Calibri"/>
      <family val="2"/>
      <scheme val="minor"/>
    </font>
    <font>
      <sz val="11"/>
      <color rgb="FF006100"/>
      <name val="Calibri"/>
      <family val="2"/>
      <scheme val="minor"/>
    </font>
    <font>
      <sz val="11"/>
      <color rgb="FF9C5700"/>
      <name val="Calibri"/>
      <family val="2"/>
      <scheme val="minor"/>
    </font>
    <font>
      <b/>
      <sz val="12"/>
      <color indexed="9"/>
      <name val="Calibri"/>
      <family val="2"/>
      <scheme val="minor"/>
    </font>
    <font>
      <b/>
      <sz val="11"/>
      <color indexed="8"/>
      <name val="Calibri"/>
      <family val="2"/>
      <scheme val="minor"/>
    </font>
    <font>
      <b/>
      <sz val="11"/>
      <color indexed="18"/>
      <name val="Calibri"/>
      <family val="2"/>
      <scheme val="minor"/>
    </font>
    <font>
      <u/>
      <sz val="12"/>
      <color theme="1"/>
      <name val="Arial"/>
      <family val="2"/>
    </font>
    <font>
      <sz val="12"/>
      <color theme="1"/>
      <name val="Arial"/>
      <family val="2"/>
    </font>
    <font>
      <b/>
      <sz val="11"/>
      <color theme="1"/>
      <name val="Arial"/>
      <family val="2"/>
    </font>
    <font>
      <b/>
      <i/>
      <sz val="10"/>
      <color theme="5" tint="-0.24994659260841701"/>
      <name val="Arial"/>
      <family val="2"/>
    </font>
    <font>
      <sz val="12"/>
      <color rgb="FF000000"/>
      <name val="Arial"/>
      <family val="2"/>
    </font>
    <font>
      <sz val="12"/>
      <color rgb="FF000000"/>
      <name val="Calibri"/>
      <family val="2"/>
      <scheme val="minor"/>
    </font>
    <font>
      <b/>
      <u/>
      <sz val="11"/>
      <color theme="1"/>
      <name val="Calibri"/>
      <family val="2"/>
      <scheme val="minor"/>
    </font>
  </fonts>
  <fills count="33">
    <fill>
      <patternFill patternType="none"/>
    </fill>
    <fill>
      <patternFill patternType="gray125"/>
    </fill>
    <fill>
      <patternFill patternType="solid">
        <fgColor rgb="FFFFC7CE"/>
      </patternFill>
    </fill>
    <fill>
      <patternFill patternType="solid">
        <fgColor rgb="FFFFCC99"/>
      </patternFill>
    </fill>
    <fill>
      <patternFill patternType="solid">
        <fgColor rgb="FFF2F2F2"/>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9"/>
      </patternFill>
    </fill>
    <fill>
      <patternFill patternType="solid">
        <fgColor theme="9" tint="0.39997558519241921"/>
        <bgColor indexed="65"/>
      </patternFill>
    </fill>
    <fill>
      <patternFill patternType="solid">
        <fgColor theme="0"/>
        <bgColor indexed="64"/>
      </patternFill>
    </fill>
    <fill>
      <patternFill patternType="solid">
        <fgColor rgb="FFFFC000"/>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rgb="FFFFCCCC"/>
        <bgColor indexed="64"/>
      </patternFill>
    </fill>
    <fill>
      <patternFill patternType="solid">
        <fgColor theme="5" tint="0.59999389629810485"/>
        <bgColor indexed="64"/>
      </patternFill>
    </fill>
    <fill>
      <patternFill patternType="solid">
        <fgColor rgb="FF7030A0"/>
        <bgColor indexed="64"/>
      </patternFill>
    </fill>
    <fill>
      <patternFill patternType="solid">
        <fgColor rgb="FFFFFF00"/>
        <bgColor indexed="64"/>
      </patternFill>
    </fill>
    <fill>
      <patternFill patternType="solid">
        <fgColor rgb="FF92D050"/>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theme="2"/>
        <bgColor indexed="64"/>
      </patternFill>
    </fill>
    <fill>
      <patternFill patternType="solid">
        <fgColor theme="4" tint="0.59999389629810485"/>
        <bgColor indexed="64"/>
      </patternFill>
    </fill>
    <fill>
      <patternFill patternType="solid">
        <fgColor theme="9" tint="-0.249977111117893"/>
        <bgColor indexed="64"/>
      </patternFill>
    </fill>
    <fill>
      <patternFill patternType="solid">
        <fgColor indexed="20"/>
        <bgColor indexed="24"/>
      </patternFill>
    </fill>
    <fill>
      <patternFill patternType="solid">
        <fgColor indexed="22"/>
        <bgColor indexed="24"/>
      </patternFill>
    </fill>
    <fill>
      <patternFill patternType="solid">
        <fgColor indexed="22"/>
        <bgColor indexed="7"/>
      </patternFill>
    </fill>
    <fill>
      <patternFill patternType="solid">
        <fgColor rgb="FFC6EFCE"/>
      </patternFill>
    </fill>
    <fill>
      <patternFill patternType="solid">
        <fgColor rgb="FFFFEB9C"/>
      </patternFill>
    </fill>
    <fill>
      <patternFill patternType="solid">
        <fgColor theme="3" tint="0.79998168889431442"/>
        <bgColor indexed="64"/>
      </patternFill>
    </fill>
  </fills>
  <borders count="32">
    <border>
      <left/>
      <right/>
      <top/>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rgb="FF7F7F7F"/>
      </left>
      <right style="thin">
        <color rgb="FF7F7F7F"/>
      </right>
      <top/>
      <bottom style="thin">
        <color rgb="FF7F7F7F"/>
      </bottom>
      <diagonal/>
    </border>
    <border>
      <left style="thin">
        <color rgb="FF3F3F3F"/>
      </left>
      <right style="thin">
        <color rgb="FF3F3F3F"/>
      </right>
      <top style="thin">
        <color rgb="FF3F3F3F"/>
      </top>
      <bottom style="thin">
        <color rgb="FF3F3F3F"/>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thin">
        <color rgb="FF7F7F7F"/>
      </right>
      <top style="thin">
        <color rgb="FF7F7F7F"/>
      </top>
      <bottom/>
      <diagonal/>
    </border>
    <border>
      <left style="medium">
        <color indexed="64"/>
      </left>
      <right/>
      <top/>
      <bottom/>
      <diagonal/>
    </border>
    <border>
      <left/>
      <right style="medium">
        <color indexed="64"/>
      </right>
      <top/>
      <bottom/>
      <diagonal/>
    </border>
    <border>
      <left/>
      <right style="thin">
        <color rgb="FF7F7F7F"/>
      </right>
      <top style="thin">
        <color rgb="FF7F7F7F"/>
      </top>
      <bottom style="thin">
        <color rgb="FF7F7F7F"/>
      </bottom>
      <diagonal/>
    </border>
    <border>
      <left style="thin">
        <color rgb="FF7F7F7F"/>
      </left>
      <right/>
      <top style="thin">
        <color rgb="FF7F7F7F"/>
      </top>
      <bottom style="thin">
        <color rgb="FF7F7F7F"/>
      </bottom>
      <diagonal/>
    </border>
  </borders>
  <cellStyleXfs count="21">
    <xf numFmtId="0" fontId="0" fillId="0" borderId="0"/>
    <xf numFmtId="43" fontId="1" fillId="0" borderId="0" applyFont="0" applyFill="0" applyBorder="0" applyAlignment="0" applyProtection="0"/>
    <xf numFmtId="0" fontId="2" fillId="3" borderId="1" applyNumberFormat="0" applyAlignment="0" applyProtection="0"/>
    <xf numFmtId="0" fontId="3" fillId="4" borderId="1" applyNumberFormat="0" applyAlignment="0" applyProtection="0"/>
    <xf numFmtId="0" fontId="5" fillId="0" borderId="0"/>
    <xf numFmtId="0" fontId="7" fillId="7" borderId="0" applyNumberFormat="0" applyBorder="0" applyAlignment="0" applyProtection="0"/>
    <xf numFmtId="0" fontId="8" fillId="0" borderId="0"/>
    <xf numFmtId="0" fontId="9" fillId="2" borderId="0" applyNumberFormat="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5" fillId="9" borderId="0" applyNumberFormat="0" applyBorder="0" applyAlignment="0" applyProtection="0"/>
    <xf numFmtId="43" fontId="5"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22" fillId="4" borderId="7" applyNumberFormat="0" applyAlignment="0" applyProtection="0"/>
    <xf numFmtId="0" fontId="32" fillId="0" borderId="0" applyNumberFormat="0" applyFill="0" applyBorder="0" applyAlignment="0" applyProtection="0"/>
    <xf numFmtId="0" fontId="7" fillId="8" borderId="0" applyNumberFormat="0" applyBorder="0" applyAlignment="0" applyProtection="0"/>
    <xf numFmtId="0" fontId="37" fillId="30" borderId="0" applyNumberFormat="0" applyBorder="0" applyAlignment="0" applyProtection="0"/>
    <xf numFmtId="0" fontId="38" fillId="31" borderId="0" applyNumberFormat="0" applyBorder="0" applyAlignment="0" applyProtection="0"/>
    <xf numFmtId="0" fontId="45" fillId="32" borderId="17" applyAlignment="0" applyProtection="0"/>
  </cellStyleXfs>
  <cellXfs count="289">
    <xf numFmtId="0" fontId="0" fillId="0" borderId="0" xfId="0"/>
    <xf numFmtId="0" fontId="5" fillId="0" borderId="0" xfId="4"/>
    <xf numFmtId="0" fontId="6" fillId="10" borderId="0" xfId="4" applyFont="1" applyFill="1"/>
    <xf numFmtId="0" fontId="8" fillId="0" borderId="0" xfId="5" applyFont="1" applyFill="1" applyBorder="1" applyAlignment="1">
      <alignment horizontal="left" vertical="top"/>
    </xf>
    <xf numFmtId="0" fontId="8" fillId="0" borderId="3" xfId="5" applyFont="1" applyFill="1" applyBorder="1" applyAlignment="1">
      <alignment horizontal="left" vertical="top"/>
    </xf>
    <xf numFmtId="0" fontId="5" fillId="0" borderId="2" xfId="4" applyBorder="1"/>
    <xf numFmtId="0" fontId="5" fillId="11" borderId="2" xfId="4" applyFill="1" applyBorder="1" applyAlignment="1">
      <alignment horizontal="left" vertical="top"/>
    </xf>
    <xf numFmtId="0" fontId="5" fillId="11" borderId="3" xfId="4" applyFill="1" applyBorder="1" applyAlignment="1">
      <alignment horizontal="left" vertical="top"/>
    </xf>
    <xf numFmtId="0" fontId="10" fillId="11" borderId="2" xfId="4" applyFont="1" applyFill="1" applyBorder="1" applyAlignment="1">
      <alignment horizontal="left" vertical="top"/>
    </xf>
    <xf numFmtId="0" fontId="8" fillId="11" borderId="2" xfId="5" applyFont="1" applyFill="1" applyBorder="1" applyAlignment="1">
      <alignment horizontal="left" vertical="top"/>
    </xf>
    <xf numFmtId="0" fontId="8" fillId="11" borderId="3" xfId="5" applyFont="1" applyFill="1" applyBorder="1" applyAlignment="1">
      <alignment horizontal="left" vertical="top"/>
    </xf>
    <xf numFmtId="0" fontId="5" fillId="11" borderId="2" xfId="4" applyFill="1" applyBorder="1"/>
    <xf numFmtId="0" fontId="5" fillId="12" borderId="2" xfId="4" applyFill="1" applyBorder="1" applyAlignment="1">
      <alignment horizontal="left" vertical="top"/>
    </xf>
    <xf numFmtId="0" fontId="5" fillId="12" borderId="3" xfId="4" applyFill="1" applyBorder="1" applyAlignment="1">
      <alignment horizontal="left" vertical="top"/>
    </xf>
    <xf numFmtId="0" fontId="8" fillId="12" borderId="2" xfId="8" applyFont="1" applyFill="1" applyBorder="1" applyAlignment="1">
      <alignment horizontal="left" vertical="top"/>
    </xf>
    <xf numFmtId="0" fontId="8" fillId="12" borderId="3" xfId="8" applyFont="1" applyFill="1" applyBorder="1" applyAlignment="1">
      <alignment horizontal="left" vertical="top"/>
    </xf>
    <xf numFmtId="0" fontId="5" fillId="12" borderId="2" xfId="4" applyFill="1" applyBorder="1"/>
    <xf numFmtId="0" fontId="8" fillId="12" borderId="3" xfId="4" applyFont="1" applyFill="1" applyBorder="1" applyAlignment="1">
      <alignment horizontal="left" vertical="top"/>
    </xf>
    <xf numFmtId="0" fontId="8" fillId="13" borderId="3" xfId="9" applyFont="1" applyFill="1" applyBorder="1" applyAlignment="1">
      <alignment horizontal="left" vertical="top"/>
    </xf>
    <xf numFmtId="0" fontId="10" fillId="13" borderId="2" xfId="4" applyFont="1" applyFill="1" applyBorder="1" applyAlignment="1">
      <alignment horizontal="left" vertical="top"/>
    </xf>
    <xf numFmtId="0" fontId="8" fillId="6" borderId="3" xfId="9" applyFont="1" applyBorder="1" applyAlignment="1">
      <alignment horizontal="left"/>
    </xf>
    <xf numFmtId="0" fontId="10" fillId="13" borderId="2" xfId="4" applyFont="1" applyFill="1" applyBorder="1"/>
    <xf numFmtId="0" fontId="5" fillId="13" borderId="3" xfId="4" applyFill="1" applyBorder="1" applyAlignment="1">
      <alignment horizontal="left" vertical="top" wrapText="1"/>
    </xf>
    <xf numFmtId="0" fontId="5" fillId="13" borderId="3" xfId="4" applyFill="1" applyBorder="1" applyAlignment="1">
      <alignment horizontal="left" vertical="top"/>
    </xf>
    <xf numFmtId="0" fontId="8" fillId="0" borderId="0" xfId="4" applyFont="1" applyAlignment="1">
      <alignment horizontal="left" vertical="top"/>
    </xf>
    <xf numFmtId="0" fontId="11" fillId="0" borderId="0" xfId="4" applyFont="1" applyAlignment="1">
      <alignment vertical="center" wrapText="1"/>
    </xf>
    <xf numFmtId="0" fontId="8" fillId="0" borderId="2" xfId="4" applyFont="1" applyBorder="1" applyAlignment="1">
      <alignment horizontal="left" vertical="top"/>
    </xf>
    <xf numFmtId="0" fontId="5" fillId="0" borderId="3" xfId="4" applyBorder="1" applyAlignment="1">
      <alignment horizontal="left" vertical="top"/>
    </xf>
    <xf numFmtId="0" fontId="5" fillId="0" borderId="3" xfId="4" applyBorder="1" applyAlignment="1">
      <alignment horizontal="left" vertical="top" wrapText="1"/>
    </xf>
    <xf numFmtId="0" fontId="12" fillId="0" borderId="0" xfId="4" applyFont="1" applyAlignment="1">
      <alignment wrapText="1"/>
    </xf>
    <xf numFmtId="0" fontId="13" fillId="0" borderId="0" xfId="4" applyFont="1" applyAlignment="1">
      <alignment vertical="center" wrapText="1"/>
    </xf>
    <xf numFmtId="0" fontId="8" fillId="7" borderId="0" xfId="5" applyFont="1" applyBorder="1" applyAlignment="1">
      <alignment horizontal="left" vertical="top"/>
    </xf>
    <xf numFmtId="0" fontId="8" fillId="7" borderId="2" xfId="5" applyFont="1" applyBorder="1" applyAlignment="1">
      <alignment horizontal="left" vertical="top"/>
    </xf>
    <xf numFmtId="0" fontId="8" fillId="14" borderId="2" xfId="7" applyFont="1" applyFill="1" applyBorder="1" applyAlignment="1">
      <alignment horizontal="left"/>
    </xf>
    <xf numFmtId="0" fontId="12" fillId="15" borderId="0" xfId="4" applyFont="1" applyFill="1" applyAlignment="1">
      <alignment vertical="center" wrapText="1"/>
    </xf>
    <xf numFmtId="0" fontId="8" fillId="14" borderId="3" xfId="7" applyFont="1" applyFill="1" applyBorder="1" applyAlignment="1">
      <alignment horizontal="left"/>
    </xf>
    <xf numFmtId="0" fontId="8" fillId="2" borderId="3" xfId="7" applyFont="1" applyBorder="1" applyAlignment="1">
      <alignment horizontal="left"/>
    </xf>
    <xf numFmtId="0" fontId="8" fillId="2" borderId="2" xfId="7" applyFont="1" applyBorder="1" applyAlignment="1">
      <alignment horizontal="left"/>
    </xf>
    <xf numFmtId="0" fontId="8" fillId="2" borderId="3" xfId="7" applyFont="1" applyBorder="1" applyAlignment="1">
      <alignment horizontal="left" vertical="center"/>
    </xf>
    <xf numFmtId="0" fontId="8" fillId="2" borderId="2" xfId="7" applyFont="1" applyBorder="1" applyAlignment="1">
      <alignment horizontal="left" vertical="center"/>
    </xf>
    <xf numFmtId="0" fontId="7" fillId="16" borderId="2" xfId="4" applyFont="1" applyFill="1" applyBorder="1" applyAlignment="1">
      <alignment horizontal="left"/>
    </xf>
    <xf numFmtId="0" fontId="7" fillId="16" borderId="3" xfId="4" applyFont="1" applyFill="1" applyBorder="1" applyAlignment="1">
      <alignment horizontal="left"/>
    </xf>
    <xf numFmtId="0" fontId="7" fillId="16" borderId="2" xfId="5" applyFill="1" applyBorder="1" applyAlignment="1">
      <alignment horizontal="left"/>
    </xf>
    <xf numFmtId="0" fontId="15" fillId="0" borderId="0" xfId="4" applyFont="1"/>
    <xf numFmtId="0" fontId="5" fillId="18" borderId="2" xfId="4" applyFill="1" applyBorder="1" applyAlignment="1">
      <alignment horizontal="left" vertical="top"/>
    </xf>
    <xf numFmtId="0" fontId="8" fillId="18" borderId="0" xfId="10" applyFont="1" applyFill="1" applyBorder="1" applyAlignment="1">
      <alignment horizontal="left" vertical="top"/>
    </xf>
    <xf numFmtId="0" fontId="8" fillId="18" borderId="4" xfId="10" applyFont="1" applyFill="1" applyBorder="1" applyAlignment="1">
      <alignment horizontal="left" vertical="top"/>
    </xf>
    <xf numFmtId="0" fontId="8" fillId="18" borderId="3" xfId="4" applyFont="1" applyFill="1" applyBorder="1" applyAlignment="1">
      <alignment horizontal="left" vertical="top"/>
    </xf>
    <xf numFmtId="0" fontId="8" fillId="18" borderId="2" xfId="4" applyFont="1" applyFill="1" applyBorder="1" applyAlignment="1">
      <alignment horizontal="left" vertical="top"/>
    </xf>
    <xf numFmtId="0" fontId="8" fillId="18" borderId="3" xfId="10" applyFont="1" applyFill="1" applyBorder="1" applyAlignment="1">
      <alignment horizontal="left" vertical="top"/>
    </xf>
    <xf numFmtId="0" fontId="8" fillId="18" borderId="2" xfId="10" applyFont="1" applyFill="1" applyBorder="1" applyAlignment="1">
      <alignment horizontal="left"/>
    </xf>
    <xf numFmtId="0" fontId="8" fillId="18" borderId="3" xfId="10" applyFont="1" applyFill="1" applyBorder="1" applyAlignment="1">
      <alignment horizontal="left"/>
    </xf>
    <xf numFmtId="0" fontId="16" fillId="0" borderId="2" xfId="6" applyFont="1" applyBorder="1" applyAlignment="1">
      <alignment horizontal="left"/>
    </xf>
    <xf numFmtId="0" fontId="8" fillId="17" borderId="2" xfId="4" applyFont="1" applyFill="1" applyBorder="1" applyAlignment="1">
      <alignment horizontal="left"/>
    </xf>
    <xf numFmtId="0" fontId="5" fillId="17" borderId="3" xfId="4" applyFill="1" applyBorder="1" applyAlignment="1">
      <alignment horizontal="left"/>
    </xf>
    <xf numFmtId="0" fontId="8" fillId="17" borderId="0" xfId="4" applyFont="1" applyFill="1" applyAlignment="1">
      <alignment horizontal="left" vertical="center" wrapText="1"/>
    </xf>
    <xf numFmtId="0" fontId="8" fillId="17" borderId="0" xfId="4" applyFont="1" applyFill="1" applyAlignment="1">
      <alignment vertical="center" wrapText="1"/>
    </xf>
    <xf numFmtId="0" fontId="5" fillId="17" borderId="2" xfId="4" applyFill="1" applyBorder="1" applyAlignment="1">
      <alignment horizontal="left" vertical="top"/>
    </xf>
    <xf numFmtId="0" fontId="8" fillId="17" borderId="0" xfId="4" applyFont="1" applyFill="1" applyAlignment="1">
      <alignment horizontal="left"/>
    </xf>
    <xf numFmtId="0" fontId="5" fillId="17" borderId="0" xfId="4" applyFill="1" applyAlignment="1">
      <alignment horizontal="left"/>
    </xf>
    <xf numFmtId="0" fontId="8" fillId="17" borderId="2" xfId="7" applyFont="1" applyFill="1" applyBorder="1" applyAlignment="1"/>
    <xf numFmtId="0" fontId="11" fillId="17" borderId="0" xfId="4" applyFont="1" applyFill="1" applyAlignment="1">
      <alignment vertical="center" wrapText="1"/>
    </xf>
    <xf numFmtId="0" fontId="12" fillId="17" borderId="0" xfId="4" applyFont="1" applyFill="1" applyAlignment="1">
      <alignment vertical="center" wrapText="1"/>
    </xf>
    <xf numFmtId="0" fontId="2" fillId="3" borderId="1" xfId="2"/>
    <xf numFmtId="0" fontId="3" fillId="4" borderId="1" xfId="3"/>
    <xf numFmtId="165" fontId="3" fillId="4" borderId="1" xfId="3" applyNumberFormat="1"/>
    <xf numFmtId="43" fontId="3" fillId="4" borderId="0" xfId="1" applyFont="1" applyFill="1" applyBorder="1"/>
    <xf numFmtId="165" fontId="3" fillId="4" borderId="1" xfId="1" applyNumberFormat="1" applyFont="1" applyFill="1" applyBorder="1"/>
    <xf numFmtId="0" fontId="4" fillId="19" borderId="5" xfId="0" applyFont="1" applyFill="1" applyBorder="1" applyAlignment="1">
      <alignment wrapText="1"/>
    </xf>
    <xf numFmtId="164" fontId="3" fillId="4" borderId="1" xfId="3" applyNumberFormat="1"/>
    <xf numFmtId="166" fontId="3" fillId="4" borderId="1" xfId="3" applyNumberFormat="1"/>
    <xf numFmtId="167" fontId="3" fillId="4" borderId="1" xfId="3" applyNumberFormat="1"/>
    <xf numFmtId="0" fontId="2" fillId="3" borderId="6" xfId="2" applyBorder="1"/>
    <xf numFmtId="164" fontId="3" fillId="4" borderId="6" xfId="3" applyNumberFormat="1" applyBorder="1"/>
    <xf numFmtId="0" fontId="4" fillId="19" borderId="2" xfId="0" applyFont="1" applyFill="1" applyBorder="1" applyAlignment="1">
      <alignment wrapText="1"/>
    </xf>
    <xf numFmtId="0" fontId="4" fillId="0" borderId="0" xfId="0" applyFont="1"/>
    <xf numFmtId="0" fontId="2" fillId="3" borderId="0" xfId="2" applyBorder="1"/>
    <xf numFmtId="44" fontId="2" fillId="3" borderId="0" xfId="13" applyFont="1" applyFill="1" applyBorder="1"/>
    <xf numFmtId="44" fontId="0" fillId="0" borderId="0" xfId="0" applyNumberFormat="1"/>
    <xf numFmtId="168" fontId="3" fillId="4" borderId="1" xfId="3" applyNumberFormat="1"/>
    <xf numFmtId="44" fontId="0" fillId="0" borderId="0" xfId="13" applyFont="1"/>
    <xf numFmtId="44" fontId="3" fillId="4" borderId="1" xfId="3" applyNumberFormat="1"/>
    <xf numFmtId="169" fontId="3" fillId="4" borderId="0" xfId="1" applyNumberFormat="1" applyFont="1" applyFill="1" applyBorder="1"/>
    <xf numFmtId="44" fontId="2" fillId="3" borderId="1" xfId="2" applyNumberFormat="1"/>
    <xf numFmtId="44" fontId="2" fillId="3" borderId="1" xfId="13" applyFont="1" applyFill="1" applyBorder="1"/>
    <xf numFmtId="44" fontId="3" fillId="4" borderId="1" xfId="13" applyFont="1" applyFill="1" applyBorder="1"/>
    <xf numFmtId="170" fontId="3" fillId="4" borderId="1" xfId="3" applyNumberFormat="1"/>
    <xf numFmtId="0" fontId="17" fillId="0" borderId="0" xfId="0" applyFont="1"/>
    <xf numFmtId="0" fontId="21" fillId="0" borderId="0" xfId="0" applyFont="1"/>
    <xf numFmtId="0" fontId="0" fillId="20" borderId="11" xfId="0" applyFill="1" applyBorder="1"/>
    <xf numFmtId="0" fontId="0" fillId="20" borderId="0" xfId="0" applyFill="1" applyBorder="1"/>
    <xf numFmtId="0" fontId="0" fillId="20" borderId="4" xfId="0" applyFill="1" applyBorder="1"/>
    <xf numFmtId="0" fontId="0" fillId="20" borderId="12" xfId="0" applyFill="1" applyBorder="1"/>
    <xf numFmtId="0" fontId="0" fillId="20" borderId="13" xfId="0" applyFill="1" applyBorder="1"/>
    <xf numFmtId="0" fontId="0" fillId="20" borderId="14" xfId="0" applyFill="1" applyBorder="1"/>
    <xf numFmtId="0" fontId="23" fillId="20" borderId="0" xfId="0" applyFont="1" applyFill="1" applyBorder="1"/>
    <xf numFmtId="0" fontId="0" fillId="0" borderId="17" xfId="0" applyFill="1" applyBorder="1"/>
    <xf numFmtId="0" fontId="2" fillId="3" borderId="0" xfId="2" applyNumberFormat="1" applyBorder="1"/>
    <xf numFmtId="172" fontId="0" fillId="0" borderId="0" xfId="0" applyNumberFormat="1"/>
    <xf numFmtId="0" fontId="0" fillId="19" borderId="8" xfId="0" applyFill="1" applyBorder="1"/>
    <xf numFmtId="0" fontId="0" fillId="19" borderId="9" xfId="0" applyFill="1" applyBorder="1"/>
    <xf numFmtId="0" fontId="0" fillId="19" borderId="10" xfId="0" applyFill="1" applyBorder="1"/>
    <xf numFmtId="0" fontId="0" fillId="19" borderId="11" xfId="0" applyFill="1" applyBorder="1"/>
    <xf numFmtId="0" fontId="0" fillId="19" borderId="0" xfId="0" applyFill="1" applyBorder="1"/>
    <xf numFmtId="0" fontId="0" fillId="19" borderId="4" xfId="0" applyFill="1" applyBorder="1"/>
    <xf numFmtId="171" fontId="22" fillId="4" borderId="7" xfId="15" applyNumberFormat="1" applyBorder="1"/>
    <xf numFmtId="0" fontId="0" fillId="19" borderId="12" xfId="0" applyFill="1" applyBorder="1"/>
    <xf numFmtId="0" fontId="0" fillId="19" borderId="13" xfId="0" applyFill="1" applyBorder="1"/>
    <xf numFmtId="0" fontId="0" fillId="19" borderId="14" xfId="0" applyFill="1" applyBorder="1"/>
    <xf numFmtId="0" fontId="0" fillId="15" borderId="11" xfId="0" applyFill="1" applyBorder="1"/>
    <xf numFmtId="0" fontId="0" fillId="15" borderId="0" xfId="0" applyFill="1" applyBorder="1"/>
    <xf numFmtId="0" fontId="0" fillId="15" borderId="4" xfId="0" applyFill="1" applyBorder="1"/>
    <xf numFmtId="0" fontId="0" fillId="15" borderId="12" xfId="0" applyFill="1" applyBorder="1"/>
    <xf numFmtId="0" fontId="0" fillId="15" borderId="13" xfId="0" applyFill="1" applyBorder="1"/>
    <xf numFmtId="0" fontId="0" fillId="15" borderId="14" xfId="0" applyFill="1" applyBorder="1"/>
    <xf numFmtId="0" fontId="0" fillId="15" borderId="8" xfId="0" applyFill="1" applyBorder="1"/>
    <xf numFmtId="0" fontId="0" fillId="15" borderId="9" xfId="0" applyFill="1" applyBorder="1"/>
    <xf numFmtId="0" fontId="0" fillId="15" borderId="10" xfId="0" applyFill="1" applyBorder="1"/>
    <xf numFmtId="0" fontId="0" fillId="20" borderId="8" xfId="0" applyFill="1" applyBorder="1"/>
    <xf numFmtId="0" fontId="0" fillId="20" borderId="9" xfId="0" applyFill="1" applyBorder="1"/>
    <xf numFmtId="0" fontId="0" fillId="20" borderId="10" xfId="0" applyFill="1" applyBorder="1"/>
    <xf numFmtId="0" fontId="0" fillId="21" borderId="8" xfId="0" applyFill="1" applyBorder="1"/>
    <xf numFmtId="0" fontId="0" fillId="21" borderId="9" xfId="0" applyFill="1" applyBorder="1"/>
    <xf numFmtId="0" fontId="0" fillId="21" borderId="10" xfId="0" applyFill="1" applyBorder="1"/>
    <xf numFmtId="0" fontId="0" fillId="21" borderId="11" xfId="0" applyFill="1" applyBorder="1"/>
    <xf numFmtId="0" fontId="0" fillId="21" borderId="0" xfId="0" applyFill="1" applyBorder="1"/>
    <xf numFmtId="0" fontId="0" fillId="21" borderId="4" xfId="0" applyFill="1" applyBorder="1"/>
    <xf numFmtId="0" fontId="0" fillId="21" borderId="12" xfId="0" applyFill="1" applyBorder="1"/>
    <xf numFmtId="0" fontId="0" fillId="21" borderId="13" xfId="0" applyFill="1" applyBorder="1"/>
    <xf numFmtId="0" fontId="0" fillId="21" borderId="14" xfId="0" applyFill="1" applyBorder="1"/>
    <xf numFmtId="0" fontId="0" fillId="22" borderId="8" xfId="0" applyFill="1" applyBorder="1"/>
    <xf numFmtId="0" fontId="0" fillId="22" borderId="9" xfId="0" applyFill="1" applyBorder="1"/>
    <xf numFmtId="0" fontId="0" fillId="22" borderId="10" xfId="0" applyFill="1" applyBorder="1"/>
    <xf numFmtId="0" fontId="0" fillId="22" borderId="11" xfId="0" applyFill="1" applyBorder="1"/>
    <xf numFmtId="0" fontId="0" fillId="22" borderId="0" xfId="0" applyFill="1" applyBorder="1"/>
    <xf numFmtId="0" fontId="0" fillId="22" borderId="4" xfId="0" applyFill="1" applyBorder="1"/>
    <xf numFmtId="0" fontId="0" fillId="22" borderId="12" xfId="0" applyFill="1" applyBorder="1"/>
    <xf numFmtId="0" fontId="0" fillId="22" borderId="13" xfId="0" applyFill="1" applyBorder="1"/>
    <xf numFmtId="0" fontId="0" fillId="22" borderId="14" xfId="0" applyFill="1" applyBorder="1"/>
    <xf numFmtId="44" fontId="22" fillId="4" borderId="7" xfId="15" applyNumberFormat="1" applyBorder="1"/>
    <xf numFmtId="173" fontId="22" fillId="4" borderId="7" xfId="15" applyNumberFormat="1" applyBorder="1"/>
    <xf numFmtId="9" fontId="0" fillId="15" borderId="4" xfId="0" applyNumberFormat="1" applyFill="1" applyBorder="1"/>
    <xf numFmtId="174" fontId="0" fillId="15" borderId="4" xfId="14" applyNumberFormat="1" applyFont="1" applyFill="1" applyBorder="1"/>
    <xf numFmtId="44" fontId="3" fillId="4" borderId="1" xfId="13" applyNumberFormat="1" applyFont="1" applyFill="1" applyBorder="1"/>
    <xf numFmtId="2" fontId="3" fillId="4" borderId="1" xfId="3" applyNumberFormat="1"/>
    <xf numFmtId="0" fontId="0" fillId="0" borderId="0" xfId="0" applyAlignment="1">
      <alignment horizontal="center"/>
    </xf>
    <xf numFmtId="0" fontId="0" fillId="0" borderId="0" xfId="0" applyAlignment="1">
      <alignment horizontal="center" vertical="center"/>
    </xf>
    <xf numFmtId="165" fontId="0" fillId="0" borderId="0" xfId="0" applyNumberFormat="1"/>
    <xf numFmtId="0" fontId="0" fillId="0" borderId="0" xfId="0" applyAlignment="1">
      <alignment horizontal="left"/>
    </xf>
    <xf numFmtId="0" fontId="0" fillId="0" borderId="0" xfId="0" applyAlignment="1">
      <alignment wrapText="1"/>
    </xf>
    <xf numFmtId="0" fontId="0" fillId="0" borderId="20" xfId="0" applyBorder="1"/>
    <xf numFmtId="0" fontId="0" fillId="0" borderId="21" xfId="0" applyBorder="1"/>
    <xf numFmtId="0" fontId="0" fillId="0" borderId="22" xfId="0" applyBorder="1"/>
    <xf numFmtId="0" fontId="0" fillId="0" borderId="23" xfId="0" applyBorder="1"/>
    <xf numFmtId="0" fontId="0" fillId="0" borderId="24" xfId="0" applyBorder="1"/>
    <xf numFmtId="0" fontId="0" fillId="0" borderId="25" xfId="0" applyBorder="1"/>
    <xf numFmtId="0" fontId="24" fillId="0" borderId="0" xfId="0" applyFont="1"/>
    <xf numFmtId="175" fontId="3" fillId="4" borderId="1" xfId="13" applyNumberFormat="1" applyFont="1" applyFill="1" applyBorder="1"/>
    <xf numFmtId="176" fontId="3" fillId="4" borderId="1" xfId="13" applyNumberFormat="1" applyFont="1" applyFill="1" applyBorder="1"/>
    <xf numFmtId="177" fontId="22" fillId="4" borderId="7" xfId="15" applyNumberFormat="1" applyBorder="1"/>
    <xf numFmtId="0" fontId="3" fillId="4" borderId="26" xfId="3" applyBorder="1"/>
    <xf numFmtId="43" fontId="2" fillId="3" borderId="1" xfId="1" applyFont="1" applyFill="1" applyBorder="1"/>
    <xf numFmtId="175" fontId="3" fillId="4" borderId="1" xfId="3" applyNumberFormat="1"/>
    <xf numFmtId="0" fontId="2" fillId="3" borderId="27" xfId="2" applyBorder="1"/>
    <xf numFmtId="0" fontId="4" fillId="19" borderId="2" xfId="0" applyFont="1" applyFill="1" applyBorder="1" applyAlignment="1">
      <alignment horizontal="center" wrapText="1"/>
    </xf>
    <xf numFmtId="0" fontId="26" fillId="19" borderId="2" xfId="0" applyFont="1" applyFill="1" applyBorder="1" applyAlignment="1">
      <alignment wrapText="1"/>
    </xf>
    <xf numFmtId="43" fontId="3" fillId="4" borderId="1" xfId="1" applyFont="1" applyFill="1" applyBorder="1"/>
    <xf numFmtId="0" fontId="3" fillId="4" borderId="6" xfId="3" applyBorder="1"/>
    <xf numFmtId="165" fontId="3" fillId="4" borderId="6" xfId="3" applyNumberFormat="1" applyBorder="1"/>
    <xf numFmtId="166" fontId="3" fillId="4" borderId="6" xfId="3" applyNumberFormat="1" applyBorder="1"/>
    <xf numFmtId="44" fontId="3" fillId="4" borderId="6" xfId="13" applyFont="1" applyFill="1" applyBorder="1"/>
    <xf numFmtId="43" fontId="3" fillId="4" borderId="6" xfId="1" applyFont="1" applyFill="1" applyBorder="1"/>
    <xf numFmtId="165" fontId="3" fillId="4" borderId="26" xfId="3" applyNumberFormat="1" applyBorder="1"/>
    <xf numFmtId="164" fontId="3" fillId="4" borderId="26" xfId="3" applyNumberFormat="1" applyBorder="1"/>
    <xf numFmtId="166" fontId="3" fillId="4" borderId="26" xfId="3" applyNumberFormat="1" applyBorder="1"/>
    <xf numFmtId="44" fontId="3" fillId="4" borderId="26" xfId="13" applyFont="1" applyFill="1" applyBorder="1"/>
    <xf numFmtId="43" fontId="3" fillId="4" borderId="26" xfId="1" applyFont="1" applyFill="1" applyBorder="1"/>
    <xf numFmtId="167" fontId="3" fillId="4" borderId="6" xfId="3" applyNumberFormat="1" applyBorder="1"/>
    <xf numFmtId="167" fontId="3" fillId="4" borderId="26" xfId="3" applyNumberFormat="1" applyBorder="1"/>
    <xf numFmtId="0" fontId="4" fillId="19" borderId="0" xfId="0" applyFont="1" applyFill="1" applyBorder="1" applyAlignment="1">
      <alignment horizontal="center" wrapText="1"/>
    </xf>
    <xf numFmtId="171" fontId="3" fillId="4" borderId="1" xfId="3" applyNumberFormat="1"/>
    <xf numFmtId="178" fontId="3" fillId="4" borderId="1" xfId="3" applyNumberFormat="1"/>
    <xf numFmtId="0" fontId="11" fillId="20" borderId="9" xfId="0" applyFont="1" applyFill="1" applyBorder="1"/>
    <xf numFmtId="0" fontId="0" fillId="24" borderId="13" xfId="0" applyFill="1" applyBorder="1"/>
    <xf numFmtId="171" fontId="0" fillId="0" borderId="0" xfId="13" applyNumberFormat="1" applyFont="1"/>
    <xf numFmtId="0" fontId="29" fillId="0" borderId="2" xfId="6" applyFont="1" applyBorder="1" applyAlignment="1">
      <alignment horizontal="left"/>
    </xf>
    <xf numFmtId="43" fontId="0" fillId="0" borderId="0" xfId="1" applyFont="1"/>
    <xf numFmtId="9" fontId="2" fillId="3" borderId="1" xfId="2" applyNumberFormat="1"/>
    <xf numFmtId="9" fontId="0" fillId="0" borderId="0" xfId="14" applyFont="1"/>
    <xf numFmtId="0" fontId="31" fillId="0" borderId="0" xfId="0" applyFont="1"/>
    <xf numFmtId="9" fontId="0" fillId="0" borderId="24" xfId="14" applyFont="1" applyBorder="1"/>
    <xf numFmtId="175" fontId="0" fillId="0" borderId="0" xfId="0" applyNumberFormat="1"/>
    <xf numFmtId="0" fontId="32" fillId="0" borderId="0" xfId="16"/>
    <xf numFmtId="180" fontId="0" fillId="17" borderId="0" xfId="1" applyNumberFormat="1" applyFont="1" applyFill="1"/>
    <xf numFmtId="9" fontId="3" fillId="4" borderId="1" xfId="14" applyFont="1" applyFill="1" applyBorder="1"/>
    <xf numFmtId="179" fontId="0" fillId="0" borderId="0" xfId="0" applyNumberFormat="1"/>
    <xf numFmtId="171" fontId="0" fillId="26" borderId="0" xfId="13" applyNumberFormat="1" applyFont="1" applyFill="1"/>
    <xf numFmtId="0" fontId="0" fillId="0" borderId="28" xfId="0" applyBorder="1"/>
    <xf numFmtId="0" fontId="0" fillId="0" borderId="0" xfId="0" applyBorder="1"/>
    <xf numFmtId="0" fontId="0" fillId="0" borderId="29" xfId="0" applyBorder="1"/>
    <xf numFmtId="0" fontId="22" fillId="4" borderId="7" xfId="15"/>
    <xf numFmtId="0" fontId="33" fillId="0" borderId="0" xfId="0" applyFont="1"/>
    <xf numFmtId="181" fontId="0" fillId="0" borderId="0" xfId="0" applyNumberFormat="1"/>
    <xf numFmtId="181" fontId="33" fillId="0" borderId="0" xfId="0" applyNumberFormat="1" applyFont="1"/>
    <xf numFmtId="172" fontId="3" fillId="4" borderId="1" xfId="3" applyNumberFormat="1"/>
    <xf numFmtId="1" fontId="3" fillId="4" borderId="1" xfId="3" applyNumberFormat="1"/>
    <xf numFmtId="0" fontId="0" fillId="0" borderId="0" xfId="0" applyAlignment="1">
      <alignment horizontal="right"/>
    </xf>
    <xf numFmtId="0" fontId="4" fillId="25" borderId="0" xfId="0" applyFont="1" applyFill="1"/>
    <xf numFmtId="44" fontId="3" fillId="4" borderId="26" xfId="3" applyNumberFormat="1" applyBorder="1"/>
    <xf numFmtId="0" fontId="0" fillId="0" borderId="0" xfId="0" applyFill="1"/>
    <xf numFmtId="172" fontId="3" fillId="0" borderId="1" xfId="3" applyNumberFormat="1" applyFill="1"/>
    <xf numFmtId="0" fontId="0" fillId="0" borderId="0" xfId="0" applyFill="1" applyBorder="1" applyAlignment="1"/>
    <xf numFmtId="43" fontId="0" fillId="0" borderId="0" xfId="0" applyNumberFormat="1" applyFill="1" applyBorder="1" applyAlignment="1"/>
    <xf numFmtId="44" fontId="0" fillId="0" borderId="0" xfId="0" applyNumberFormat="1" applyFill="1" applyBorder="1" applyAlignment="1"/>
    <xf numFmtId="0" fontId="0" fillId="0" borderId="16" xfId="0" applyFill="1" applyBorder="1" applyAlignment="1"/>
    <xf numFmtId="0" fontId="34" fillId="27" borderId="21" xfId="0" applyFont="1" applyFill="1" applyBorder="1" applyAlignment="1">
      <alignment horizontal="right"/>
    </xf>
    <xf numFmtId="0" fontId="34" fillId="27" borderId="13" xfId="0" applyFont="1" applyFill="1" applyBorder="1" applyAlignment="1">
      <alignment horizontal="right"/>
    </xf>
    <xf numFmtId="0" fontId="0" fillId="29" borderId="0" xfId="0" applyFill="1" applyBorder="1" applyAlignment="1"/>
    <xf numFmtId="43" fontId="0" fillId="29" borderId="0" xfId="0" applyNumberFormat="1" applyFill="1" applyBorder="1" applyAlignment="1"/>
    <xf numFmtId="44" fontId="0" fillId="29" borderId="0" xfId="0" applyNumberFormat="1" applyFill="1" applyBorder="1" applyAlignment="1"/>
    <xf numFmtId="0" fontId="35" fillId="0" borderId="0" xfId="0" applyFont="1" applyFill="1" applyBorder="1" applyAlignment="1">
      <alignment vertical="top" wrapText="1"/>
    </xf>
    <xf numFmtId="44" fontId="0" fillId="0" borderId="24" xfId="0" applyNumberFormat="1" applyFill="1" applyBorder="1" applyAlignment="1"/>
    <xf numFmtId="44" fontId="0" fillId="0" borderId="24" xfId="13" applyFont="1" applyBorder="1"/>
    <xf numFmtId="44" fontId="7" fillId="8" borderId="0" xfId="17" applyNumberFormat="1"/>
    <xf numFmtId="43" fontId="2" fillId="3" borderId="30" xfId="1" applyFont="1" applyFill="1" applyBorder="1"/>
    <xf numFmtId="170" fontId="2" fillId="3" borderId="1" xfId="2" applyNumberFormat="1"/>
    <xf numFmtId="174" fontId="0" fillId="0" borderId="0" xfId="14" applyNumberFormat="1" applyFont="1"/>
    <xf numFmtId="44" fontId="0" fillId="0" borderId="0" xfId="13" applyNumberFormat="1" applyFont="1"/>
    <xf numFmtId="182" fontId="0" fillId="0" borderId="0" xfId="0" applyNumberFormat="1"/>
    <xf numFmtId="170" fontId="2" fillId="3" borderId="1" xfId="1" applyNumberFormat="1" applyFont="1" applyFill="1" applyBorder="1"/>
    <xf numFmtId="0" fontId="36" fillId="27" borderId="21" xfId="0" applyFont="1" applyFill="1" applyBorder="1" applyAlignment="1">
      <alignment horizontal="left"/>
    </xf>
    <xf numFmtId="0" fontId="0" fillId="25" borderId="0" xfId="0" applyFill="1"/>
    <xf numFmtId="183" fontId="0" fillId="0" borderId="0" xfId="0" applyNumberFormat="1"/>
    <xf numFmtId="171" fontId="0" fillId="25" borderId="2" xfId="13" applyNumberFormat="1" applyFont="1" applyFill="1" applyBorder="1"/>
    <xf numFmtId="0" fontId="0" fillId="0" borderId="2" xfId="0" applyBorder="1" applyAlignment="1">
      <alignment horizontal="center"/>
    </xf>
    <xf numFmtId="180" fontId="0" fillId="0" borderId="2" xfId="1" applyNumberFormat="1" applyFont="1" applyBorder="1"/>
    <xf numFmtId="184" fontId="0" fillId="0" borderId="0" xfId="0" applyNumberFormat="1"/>
    <xf numFmtId="43" fontId="0" fillId="17" borderId="0" xfId="1" applyFont="1" applyFill="1"/>
    <xf numFmtId="43" fontId="37" fillId="30" borderId="0" xfId="18" applyNumberFormat="1" applyAlignment="1">
      <alignment horizontal="center"/>
    </xf>
    <xf numFmtId="184" fontId="38" fillId="31" borderId="0" xfId="19" applyNumberFormat="1"/>
    <xf numFmtId="0" fontId="2" fillId="3" borderId="1" xfId="2" applyAlignment="1">
      <alignment horizontal="center"/>
    </xf>
    <xf numFmtId="0" fontId="2" fillId="25" borderId="1" xfId="2" applyFill="1" applyAlignment="1">
      <alignment horizontal="center"/>
    </xf>
    <xf numFmtId="0" fontId="37" fillId="30" borderId="0" xfId="18"/>
    <xf numFmtId="180" fontId="0" fillId="0" borderId="0" xfId="0" applyNumberFormat="1"/>
    <xf numFmtId="185" fontId="0" fillId="25" borderId="2" xfId="1" applyNumberFormat="1" applyFont="1" applyFill="1" applyBorder="1"/>
    <xf numFmtId="0" fontId="2" fillId="3" borderId="2" xfId="2" applyBorder="1"/>
    <xf numFmtId="43" fontId="0" fillId="0" borderId="2" xfId="1" applyFont="1" applyBorder="1"/>
    <xf numFmtId="180" fontId="0" fillId="17" borderId="2" xfId="1" applyNumberFormat="1" applyFont="1" applyFill="1" applyBorder="1"/>
    <xf numFmtId="184" fontId="0" fillId="0" borderId="0" xfId="1" applyNumberFormat="1" applyFont="1"/>
    <xf numFmtId="184" fontId="2" fillId="3" borderId="1" xfId="2" applyNumberFormat="1"/>
    <xf numFmtId="0" fontId="39" fillId="27" borderId="13" xfId="0" applyFont="1" applyFill="1" applyBorder="1" applyAlignment="1">
      <alignment horizontal="left"/>
    </xf>
    <xf numFmtId="0" fontId="39" fillId="27" borderId="21" xfId="0" applyFont="1" applyFill="1" applyBorder="1" applyAlignment="1">
      <alignment horizontal="left"/>
    </xf>
    <xf numFmtId="0" fontId="40" fillId="28" borderId="0" xfId="0" applyFont="1" applyFill="1" applyBorder="1" applyAlignment="1">
      <alignment horizontal="left"/>
    </xf>
    <xf numFmtId="0" fontId="41" fillId="28" borderId="16" xfId="0" applyFont="1" applyFill="1" applyBorder="1" applyAlignment="1">
      <alignment horizontal="left"/>
    </xf>
    <xf numFmtId="0" fontId="40" fillId="28" borderId="24" xfId="0" applyFont="1" applyFill="1" applyBorder="1" applyAlignment="1">
      <alignment horizontal="left"/>
    </xf>
    <xf numFmtId="44" fontId="2" fillId="3" borderId="6" xfId="13" applyFont="1" applyFill="1" applyBorder="1"/>
    <xf numFmtId="167" fontId="3" fillId="4" borderId="31" xfId="3" applyNumberFormat="1" applyBorder="1"/>
    <xf numFmtId="169" fontId="3" fillId="4" borderId="2" xfId="1" applyNumberFormat="1" applyFont="1" applyFill="1" applyBorder="1"/>
    <xf numFmtId="44" fontId="0" fillId="23" borderId="24" xfId="0" applyNumberFormat="1" applyFill="1" applyBorder="1" applyAlignment="1"/>
    <xf numFmtId="8" fontId="0" fillId="0" borderId="0" xfId="0" applyNumberFormat="1"/>
    <xf numFmtId="9" fontId="0" fillId="0" borderId="0" xfId="0" applyNumberFormat="1"/>
    <xf numFmtId="186" fontId="0" fillId="0" borderId="0" xfId="0" applyNumberFormat="1"/>
    <xf numFmtId="187" fontId="0" fillId="0" borderId="0" xfId="0" applyNumberFormat="1"/>
    <xf numFmtId="188" fontId="0" fillId="0" borderId="0" xfId="0" applyNumberFormat="1"/>
    <xf numFmtId="174" fontId="0" fillId="0" borderId="0" xfId="0" applyNumberFormat="1"/>
    <xf numFmtId="10" fontId="0" fillId="0" borderId="0" xfId="0" applyNumberFormat="1"/>
    <xf numFmtId="0" fontId="32" fillId="0" borderId="0" xfId="16" applyAlignment="1">
      <alignment horizontal="center"/>
    </xf>
    <xf numFmtId="0" fontId="32" fillId="0" borderId="0" xfId="16" applyAlignment="1">
      <alignment horizontal="right"/>
    </xf>
    <xf numFmtId="189" fontId="3" fillId="4" borderId="1" xfId="3" applyNumberFormat="1" applyAlignment="1">
      <alignment horizontal="center"/>
    </xf>
    <xf numFmtId="189" fontId="3" fillId="4" borderId="26" xfId="3" applyNumberFormat="1" applyBorder="1" applyAlignment="1">
      <alignment horizontal="center"/>
    </xf>
    <xf numFmtId="189" fontId="3" fillId="4" borderId="6" xfId="3" applyNumberFormat="1" applyBorder="1" applyAlignment="1">
      <alignment horizontal="center"/>
    </xf>
    <xf numFmtId="1" fontId="3" fillId="4" borderId="6" xfId="3" applyNumberFormat="1" applyBorder="1"/>
    <xf numFmtId="1" fontId="3" fillId="4" borderId="26" xfId="3" applyNumberFormat="1" applyBorder="1"/>
    <xf numFmtId="190" fontId="2" fillId="3" borderId="1" xfId="2" applyNumberFormat="1"/>
    <xf numFmtId="0" fontId="46" fillId="0" borderId="0" xfId="0" applyFont="1" applyAlignment="1">
      <alignment horizontal="left" vertical="center" readingOrder="1"/>
    </xf>
    <xf numFmtId="0" fontId="47" fillId="0" borderId="0" xfId="0" applyFont="1" applyAlignment="1">
      <alignment horizontal="left" vertical="center" readingOrder="1"/>
    </xf>
    <xf numFmtId="14" fontId="0" fillId="0" borderId="0" xfId="0" applyNumberFormat="1"/>
    <xf numFmtId="0" fontId="4" fillId="0" borderId="15" xfId="0" applyFont="1" applyBorder="1" applyAlignment="1">
      <alignment horizontal="center"/>
    </xf>
    <xf numFmtId="0" fontId="4" fillId="0" borderId="16" xfId="0" applyFont="1" applyBorder="1" applyAlignment="1">
      <alignment horizontal="center"/>
    </xf>
    <xf numFmtId="0" fontId="4" fillId="0" borderId="3" xfId="0" applyFont="1" applyBorder="1" applyAlignment="1">
      <alignment horizontal="center"/>
    </xf>
    <xf numFmtId="0" fontId="4" fillId="0" borderId="8" xfId="0" applyFont="1" applyFill="1" applyBorder="1" applyAlignment="1">
      <alignment horizontal="center"/>
    </xf>
    <xf numFmtId="0" fontId="4" fillId="0" borderId="9" xfId="0" applyFont="1" applyFill="1" applyBorder="1" applyAlignment="1">
      <alignment horizontal="center"/>
    </xf>
    <xf numFmtId="0" fontId="4" fillId="0" borderId="10" xfId="0" applyFont="1" applyFill="1" applyBorder="1" applyAlignment="1">
      <alignment horizontal="center"/>
    </xf>
    <xf numFmtId="0" fontId="4" fillId="0" borderId="5" xfId="0" applyFont="1" applyBorder="1" applyAlignment="1">
      <alignment horizontal="center" vertical="center"/>
    </xf>
    <xf numFmtId="0" fontId="4" fillId="0" borderId="18" xfId="0" applyFont="1" applyBorder="1" applyAlignment="1">
      <alignment horizontal="center" vertical="center"/>
    </xf>
    <xf numFmtId="0" fontId="4" fillId="0" borderId="19" xfId="0" applyFont="1" applyBorder="1" applyAlignment="1">
      <alignment horizontal="center" vertical="center"/>
    </xf>
    <xf numFmtId="0" fontId="0" fillId="0" borderId="15" xfId="0" applyBorder="1" applyAlignment="1">
      <alignment horizontal="center"/>
    </xf>
    <xf numFmtId="0" fontId="0" fillId="0" borderId="16" xfId="0" applyBorder="1" applyAlignment="1">
      <alignment horizontal="center"/>
    </xf>
    <xf numFmtId="0" fontId="0" fillId="0" borderId="3" xfId="0" applyBorder="1" applyAlignment="1">
      <alignment horizontal="center"/>
    </xf>
  </cellXfs>
  <cellStyles count="21">
    <cellStyle name="60% - Accent2 2" xfId="9"/>
    <cellStyle name="60% - Accent6 2" xfId="11"/>
    <cellStyle name="Accent1 2" xfId="8"/>
    <cellStyle name="Accent4 2" xfId="5"/>
    <cellStyle name="Accent6" xfId="17" builtinId="49"/>
    <cellStyle name="Accent6 2" xfId="10"/>
    <cellStyle name="Bad 2" xfId="7"/>
    <cellStyle name="Berekening" xfId="3" builtinId="22"/>
    <cellStyle name="Comma 2" xfId="12"/>
    <cellStyle name="Directe verwijzing" xfId="20"/>
    <cellStyle name="Goed" xfId="18" builtinId="26"/>
    <cellStyle name="Hyperlink" xfId="16" builtinId="8"/>
    <cellStyle name="Invoer" xfId="2" builtinId="20"/>
    <cellStyle name="Komma" xfId="1" builtinId="3"/>
    <cellStyle name="Neutraal" xfId="19" builtinId="28"/>
    <cellStyle name="Normal 2" xfId="4"/>
    <cellStyle name="Procent" xfId="14" builtinId="5"/>
    <cellStyle name="Standaard" xfId="0" builtinId="0"/>
    <cellStyle name="Standaard 2" xfId="6"/>
    <cellStyle name="Uitvoer" xfId="15" builtinId="21"/>
    <cellStyle name="Valuta" xfId="13" builtinId="4"/>
  </cellStyles>
  <dxfs count="2">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07/relationships/slicerCache" Target="slicerCaches/slicerCache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 collectie</a:t>
            </a:r>
            <a:r>
              <a:rPr lang="en-US" baseline="0"/>
              <a:t> kosten per lunch afh van afstand tussen stops CP.</a:t>
            </a:r>
            <a:endParaRPr lang="en-US"/>
          </a:p>
        </c:rich>
      </c:tx>
      <c:layout>
        <c:manualLayout>
          <c:xMode val="edge"/>
          <c:yMode val="edge"/>
          <c:x val="0.15738739942325244"/>
          <c:y val="8.229294393044255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scatterChart>
        <c:scatterStyle val="lineMarker"/>
        <c:varyColors val="0"/>
        <c:ser>
          <c:idx val="0"/>
          <c:order val="0"/>
          <c:tx>
            <c:strRef>
              <c:f>Input!$J$132</c:f>
              <c:strCache>
                <c:ptCount val="1"/>
                <c:pt idx="0">
                  <c:v> € 0,013 </c:v>
                </c:pt>
              </c:strCache>
            </c:strRef>
          </c:tx>
          <c:spPr>
            <a:ln w="19050" cap="rnd">
              <a:noFill/>
              <a:round/>
            </a:ln>
            <a:effectLst/>
          </c:spPr>
          <c:marker>
            <c:symbol val="circle"/>
            <c:size val="5"/>
            <c:spPr>
              <a:solidFill>
                <a:schemeClr val="accent1"/>
              </a:solidFill>
              <a:ln w="9525">
                <a:solidFill>
                  <a:schemeClr val="accent1"/>
                </a:solidFill>
              </a:ln>
              <a:effectLst/>
            </c:spPr>
          </c:marker>
          <c:xVal>
            <c:numRef>
              <c:f>Input!$I$133:$I$138</c:f>
              <c:numCache>
                <c:formatCode>General</c:formatCode>
                <c:ptCount val="6"/>
                <c:pt idx="0">
                  <c:v>15</c:v>
                </c:pt>
                <c:pt idx="1">
                  <c:v>18</c:v>
                </c:pt>
                <c:pt idx="2">
                  <c:v>21</c:v>
                </c:pt>
                <c:pt idx="3">
                  <c:v>24</c:v>
                </c:pt>
                <c:pt idx="4">
                  <c:v>27</c:v>
                </c:pt>
                <c:pt idx="5">
                  <c:v>30</c:v>
                </c:pt>
              </c:numCache>
            </c:numRef>
          </c:xVal>
          <c:yVal>
            <c:numRef>
              <c:f>Input!$J$133:$J$138</c:f>
              <c:numCache>
                <c:formatCode>_ "€"\ * #,##0.000_ ;_ "€"\ * \-#,##0.000_ ;_ "€"\ * "-"??_ ;_ @_ </c:formatCode>
                <c:ptCount val="6"/>
                <c:pt idx="0">
                  <c:v>1.3020833333333334E-2</c:v>
                </c:pt>
                <c:pt idx="1">
                  <c:v>1.4136904761904762E-2</c:v>
                </c:pt>
                <c:pt idx="2">
                  <c:v>1.525297619047619E-2</c:v>
                </c:pt>
                <c:pt idx="3">
                  <c:v>1.636904761904762E-2</c:v>
                </c:pt>
                <c:pt idx="4">
                  <c:v>1.7485119047619048E-2</c:v>
                </c:pt>
                <c:pt idx="5">
                  <c:v>1.8601190476190476E-2</c:v>
                </c:pt>
              </c:numCache>
            </c:numRef>
          </c:yVal>
          <c:smooth val="0"/>
          <c:extLst>
            <c:ext xmlns:c16="http://schemas.microsoft.com/office/drawing/2014/chart" uri="{C3380CC4-5D6E-409C-BE32-E72D297353CC}">
              <c16:uniqueId val="{00000000-F832-4D94-95E8-7B5C3C55B415}"/>
            </c:ext>
          </c:extLst>
        </c:ser>
        <c:dLbls>
          <c:showLegendKey val="0"/>
          <c:showVal val="0"/>
          <c:showCatName val="0"/>
          <c:showSerName val="0"/>
          <c:showPercent val="0"/>
          <c:showBubbleSize val="0"/>
        </c:dLbls>
        <c:axId val="1196429728"/>
        <c:axId val="1196435136"/>
      </c:scatterChart>
      <c:valAx>
        <c:axId val="119642972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1196435136"/>
        <c:crosses val="autoZero"/>
        <c:crossBetween val="midCat"/>
      </c:valAx>
      <c:valAx>
        <c:axId val="1196435136"/>
        <c:scaling>
          <c:orientation val="minMax"/>
        </c:scaling>
        <c:delete val="0"/>
        <c:axPos val="l"/>
        <c:majorGridlines>
          <c:spPr>
            <a:ln w="9525" cap="flat" cmpd="sng" algn="ctr">
              <a:solidFill>
                <a:schemeClr val="tx1">
                  <a:lumMod val="15000"/>
                  <a:lumOff val="85000"/>
                </a:schemeClr>
              </a:solidFill>
              <a:round/>
            </a:ln>
            <a:effectLst/>
          </c:spPr>
        </c:majorGridlines>
        <c:numFmt formatCode="_ &quot;€&quot;\ * #,##0.000_ ;_ &quot;€&quot;\ * \-#,##0.000_ ;_ &quot;€&quot;\ * &quot;-&quot;??_ ;_ @_ "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1196429728"/>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Input!$G$145</c:f>
          <c:strCache>
            <c:ptCount val="1"/>
            <c:pt idx="0">
              <c:v>Kosten van de hub excl inkoop:</c:v>
            </c:pt>
          </c:strCache>
        </c:strRef>
      </c:tx>
      <c:layout>
        <c:manualLayout>
          <c:xMode val="edge"/>
          <c:yMode val="edge"/>
          <c:x val="0.15738739942325244"/>
          <c:y val="8.229294393044255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scatterChart>
        <c:scatterStyle val="lineMarker"/>
        <c:varyColors val="0"/>
        <c:ser>
          <c:idx val="0"/>
          <c:order val="0"/>
          <c:tx>
            <c:v>loonkosten hub</c:v>
          </c:tx>
          <c:spPr>
            <a:ln w="25400" cap="rnd">
              <a:noFill/>
              <a:round/>
            </a:ln>
            <a:effectLst/>
          </c:spPr>
          <c:marker>
            <c:symbol val="circle"/>
            <c:size val="5"/>
            <c:spPr>
              <a:solidFill>
                <a:schemeClr val="accent1"/>
              </a:solidFill>
              <a:ln w="9525">
                <a:solidFill>
                  <a:schemeClr val="accent1"/>
                </a:solidFill>
              </a:ln>
              <a:effectLst/>
            </c:spPr>
          </c:marker>
          <c:xVal>
            <c:numRef>
              <c:f>Input!$I$148:$I$152</c:f>
              <c:numCache>
                <c:formatCode>_(* #,##0.00_);_(* \(#,##0.00\);_(* "-"??_);_(@_)</c:formatCode>
                <c:ptCount val="5"/>
                <c:pt idx="0">
                  <c:v>0.6</c:v>
                </c:pt>
                <c:pt idx="1">
                  <c:v>0.8</c:v>
                </c:pt>
                <c:pt idx="2">
                  <c:v>1</c:v>
                </c:pt>
                <c:pt idx="3">
                  <c:v>1.2</c:v>
                </c:pt>
                <c:pt idx="4">
                  <c:v>1.4</c:v>
                </c:pt>
              </c:numCache>
            </c:numRef>
          </c:xVal>
          <c:yVal>
            <c:numRef>
              <c:f>Input!$J$148:$J$152</c:f>
              <c:numCache>
                <c:formatCode>_("€"* #,##0.00_);_("€"* \(#,##0.00\);_("€"* "-"??_);_(@_)</c:formatCode>
                <c:ptCount val="5"/>
                <c:pt idx="0">
                  <c:v>0.31350000000000006</c:v>
                </c:pt>
                <c:pt idx="1">
                  <c:v>0.41800000000000004</c:v>
                </c:pt>
                <c:pt idx="2">
                  <c:v>0.52250000000000008</c:v>
                </c:pt>
                <c:pt idx="3">
                  <c:v>0.62700000000000011</c:v>
                </c:pt>
                <c:pt idx="4">
                  <c:v>0.73149999999999982</c:v>
                </c:pt>
              </c:numCache>
            </c:numRef>
          </c:yVal>
          <c:smooth val="0"/>
          <c:extLst>
            <c:ext xmlns:c16="http://schemas.microsoft.com/office/drawing/2014/chart" uri="{C3380CC4-5D6E-409C-BE32-E72D297353CC}">
              <c16:uniqueId val="{00000000-3D95-44E8-A377-526D7907B779}"/>
            </c:ext>
          </c:extLst>
        </c:ser>
        <c:ser>
          <c:idx val="1"/>
          <c:order val="1"/>
          <c:tx>
            <c:v>totale kosten</c:v>
          </c:tx>
          <c:spPr>
            <a:ln w="25400" cap="rnd">
              <a:noFill/>
              <a:round/>
            </a:ln>
            <a:effectLst/>
          </c:spPr>
          <c:marker>
            <c:symbol val="circle"/>
            <c:size val="5"/>
            <c:spPr>
              <a:solidFill>
                <a:schemeClr val="accent2"/>
              </a:solidFill>
              <a:ln w="9525">
                <a:solidFill>
                  <a:schemeClr val="accent2"/>
                </a:solidFill>
              </a:ln>
              <a:effectLst/>
            </c:spPr>
          </c:marker>
          <c:xVal>
            <c:numRef>
              <c:f>Input!$I$148:$I$152</c:f>
              <c:numCache>
                <c:formatCode>_(* #,##0.00_);_(* \(#,##0.00\);_(* "-"??_);_(@_)</c:formatCode>
                <c:ptCount val="5"/>
                <c:pt idx="0">
                  <c:v>0.6</c:v>
                </c:pt>
                <c:pt idx="1">
                  <c:v>0.8</c:v>
                </c:pt>
                <c:pt idx="2">
                  <c:v>1</c:v>
                </c:pt>
                <c:pt idx="3">
                  <c:v>1.2</c:v>
                </c:pt>
                <c:pt idx="4">
                  <c:v>1.4</c:v>
                </c:pt>
              </c:numCache>
            </c:numRef>
          </c:xVal>
          <c:yVal>
            <c:numRef>
              <c:f>Input!$K$148:$K$152</c:f>
              <c:numCache>
                <c:formatCode>_("€"* #,##0.00_);_("€"* \(#,##0.00\);_("€"* "-"??_);_(@_)</c:formatCode>
                <c:ptCount val="5"/>
                <c:pt idx="0">
                  <c:v>2.7260248015873016</c:v>
                </c:pt>
                <c:pt idx="1">
                  <c:v>2.8305248015873015</c:v>
                </c:pt>
                <c:pt idx="2">
                  <c:v>2.9350248015873017</c:v>
                </c:pt>
                <c:pt idx="3">
                  <c:v>3.0395248015873015</c:v>
                </c:pt>
                <c:pt idx="4">
                  <c:v>3.1440248015873014</c:v>
                </c:pt>
              </c:numCache>
            </c:numRef>
          </c:yVal>
          <c:smooth val="0"/>
          <c:extLst>
            <c:ext xmlns:c16="http://schemas.microsoft.com/office/drawing/2014/chart" uri="{C3380CC4-5D6E-409C-BE32-E72D297353CC}">
              <c16:uniqueId val="{00000002-3D95-44E8-A377-526D7907B779}"/>
            </c:ext>
          </c:extLst>
        </c:ser>
        <c:dLbls>
          <c:showLegendKey val="0"/>
          <c:showVal val="0"/>
          <c:showCatName val="0"/>
          <c:showSerName val="0"/>
          <c:showPercent val="0"/>
          <c:showBubbleSize val="0"/>
        </c:dLbls>
        <c:axId val="1196429728"/>
        <c:axId val="1196435136"/>
      </c:scatterChart>
      <c:valAx>
        <c:axId val="1196429728"/>
        <c:scaling>
          <c:orientation val="minMax"/>
        </c:scaling>
        <c:delete val="0"/>
        <c:axPos val="b"/>
        <c:majorGridlines>
          <c:spPr>
            <a:ln w="9525" cap="flat" cmpd="sng" algn="ctr">
              <a:solidFill>
                <a:schemeClr val="tx1">
                  <a:lumMod val="15000"/>
                  <a:lumOff val="85000"/>
                </a:schemeClr>
              </a:solidFill>
              <a:round/>
            </a:ln>
            <a:effectLst/>
          </c:spPr>
        </c:majorGridlines>
        <c:numFmt formatCode="_(* #,##0.00_);_(* \(#,##0.00\);_(* &quot;-&quot;??_);_(@_)"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1196435136"/>
        <c:crosses val="autoZero"/>
        <c:crossBetween val="midCat"/>
      </c:valAx>
      <c:valAx>
        <c:axId val="1196435136"/>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1196429728"/>
        <c:crosses val="autoZero"/>
        <c:crossBetween val="midCat"/>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nl-NL"/>
              <a:t>Collectiekosten tuinders</a:t>
            </a:r>
            <a:r>
              <a:rPr lang="nl-NL" baseline="0"/>
              <a:t> afhankelijk van aantal scholen</a:t>
            </a:r>
            <a:endParaRPr lang="nl-NL"/>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scatterChart>
        <c:scatterStyle val="smoothMarker"/>
        <c:varyColors val="0"/>
        <c:ser>
          <c:idx val="0"/>
          <c:order val="0"/>
          <c:spPr>
            <a:ln w="19050" cap="rnd">
              <a:solidFill>
                <a:schemeClr val="accent1"/>
              </a:solidFill>
              <a:round/>
            </a:ln>
            <a:effectLst/>
          </c:spPr>
          <c:marker>
            <c:symbol val="none"/>
          </c:marker>
          <c:xVal>
            <c:numRef>
              <c:f>Input!$I$175:$I$194</c:f>
              <c:numCache>
                <c:formatCode>General</c:formatCode>
                <c:ptCount val="20"/>
                <c:pt idx="0">
                  <c:v>5</c:v>
                </c:pt>
                <c:pt idx="1">
                  <c:v>6</c:v>
                </c:pt>
                <c:pt idx="2">
                  <c:v>7</c:v>
                </c:pt>
                <c:pt idx="3">
                  <c:v>8</c:v>
                </c:pt>
                <c:pt idx="4">
                  <c:v>9</c:v>
                </c:pt>
                <c:pt idx="5">
                  <c:v>10</c:v>
                </c:pt>
                <c:pt idx="6">
                  <c:v>12</c:v>
                </c:pt>
                <c:pt idx="7">
                  <c:v>14</c:v>
                </c:pt>
                <c:pt idx="8">
                  <c:v>16</c:v>
                </c:pt>
                <c:pt idx="9">
                  <c:v>18</c:v>
                </c:pt>
                <c:pt idx="10">
                  <c:v>20</c:v>
                </c:pt>
                <c:pt idx="11">
                  <c:v>22</c:v>
                </c:pt>
                <c:pt idx="12">
                  <c:v>24</c:v>
                </c:pt>
                <c:pt idx="13">
                  <c:v>26</c:v>
                </c:pt>
                <c:pt idx="14">
                  <c:v>28</c:v>
                </c:pt>
                <c:pt idx="15">
                  <c:v>30</c:v>
                </c:pt>
                <c:pt idx="16">
                  <c:v>32</c:v>
                </c:pt>
                <c:pt idx="17">
                  <c:v>34</c:v>
                </c:pt>
                <c:pt idx="18">
                  <c:v>36</c:v>
                </c:pt>
                <c:pt idx="19">
                  <c:v>38</c:v>
                </c:pt>
              </c:numCache>
            </c:numRef>
          </c:xVal>
          <c:yVal>
            <c:numRef>
              <c:f>Input!$J$175:$J$194</c:f>
              <c:numCache>
                <c:formatCode>_("€"* #,##0.00_);_("€"* \(#,##0.00\);_("€"* "-"??_);_(@_)</c:formatCode>
                <c:ptCount val="20"/>
                <c:pt idx="0">
                  <c:v>1.8229166666666668E-2</c:v>
                </c:pt>
                <c:pt idx="1">
                  <c:v>1.5190972222222222E-2</c:v>
                </c:pt>
                <c:pt idx="2">
                  <c:v>1.3020833333333334E-2</c:v>
                </c:pt>
                <c:pt idx="3">
                  <c:v>1.1393229166666666E-2</c:v>
                </c:pt>
                <c:pt idx="4">
                  <c:v>1.0127314814814815E-2</c:v>
                </c:pt>
                <c:pt idx="5">
                  <c:v>9.1145833333333339E-3</c:v>
                </c:pt>
                <c:pt idx="6">
                  <c:v>7.595486111111111E-3</c:v>
                </c:pt>
                <c:pt idx="7">
                  <c:v>6.510416666666667E-3</c:v>
                </c:pt>
                <c:pt idx="8">
                  <c:v>5.696614583333333E-3</c:v>
                </c:pt>
                <c:pt idx="9">
                  <c:v>5.0636574074074073E-3</c:v>
                </c:pt>
                <c:pt idx="10">
                  <c:v>4.557291666666667E-3</c:v>
                </c:pt>
                <c:pt idx="11">
                  <c:v>4.142992424242424E-3</c:v>
                </c:pt>
                <c:pt idx="12">
                  <c:v>3.7977430555555555E-3</c:v>
                </c:pt>
                <c:pt idx="13">
                  <c:v>3.5056089743589745E-3</c:v>
                </c:pt>
                <c:pt idx="14">
                  <c:v>3.2552083333333335E-3</c:v>
                </c:pt>
                <c:pt idx="15">
                  <c:v>3.0381944444444445E-3</c:v>
                </c:pt>
                <c:pt idx="16">
                  <c:v>2.8483072916666665E-3</c:v>
                </c:pt>
                <c:pt idx="17">
                  <c:v>3.5105187908496733E-3</c:v>
                </c:pt>
                <c:pt idx="18">
                  <c:v>3.3154899691358024E-3</c:v>
                </c:pt>
                <c:pt idx="19">
                  <c:v>3.1409904970760233E-3</c:v>
                </c:pt>
              </c:numCache>
            </c:numRef>
          </c:yVal>
          <c:smooth val="1"/>
          <c:extLst>
            <c:ext xmlns:c16="http://schemas.microsoft.com/office/drawing/2014/chart" uri="{C3380CC4-5D6E-409C-BE32-E72D297353CC}">
              <c16:uniqueId val="{00000000-8C7A-483F-AC80-2A0A1D5B44A2}"/>
            </c:ext>
          </c:extLst>
        </c:ser>
        <c:dLbls>
          <c:showLegendKey val="0"/>
          <c:showVal val="0"/>
          <c:showCatName val="0"/>
          <c:showSerName val="0"/>
          <c:showPercent val="0"/>
          <c:showBubbleSize val="0"/>
        </c:dLbls>
        <c:axId val="1182176544"/>
        <c:axId val="1182177792"/>
      </c:scatterChart>
      <c:valAx>
        <c:axId val="11821765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1182177792"/>
        <c:crosses val="autoZero"/>
        <c:crossBetween val="midCat"/>
      </c:valAx>
      <c:valAx>
        <c:axId val="1182177792"/>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1182176544"/>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nl-NL"/>
              <a:t>Kosten final mile bij 5 verschillende afstanden tussen scholen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scatterChart>
        <c:scatterStyle val="lineMarker"/>
        <c:varyColors val="0"/>
        <c:ser>
          <c:idx val="0"/>
          <c:order val="0"/>
          <c:tx>
            <c:v>5 Km</c:v>
          </c:tx>
          <c:spPr>
            <a:ln w="19050" cap="rnd">
              <a:solidFill>
                <a:schemeClr val="accent1"/>
              </a:solidFill>
              <a:round/>
            </a:ln>
            <a:effectLst/>
          </c:spPr>
          <c:marker>
            <c:symbol val="none"/>
          </c:marker>
          <c:xVal>
            <c:numRef>
              <c:f>Input!$AD$77:$AD$97</c:f>
              <c:numCache>
                <c:formatCode>General</c:formatCode>
                <c:ptCount val="21"/>
                <c:pt idx="0">
                  <c:v>5</c:v>
                </c:pt>
                <c:pt idx="1">
                  <c:v>6</c:v>
                </c:pt>
                <c:pt idx="2">
                  <c:v>7</c:v>
                </c:pt>
                <c:pt idx="3">
                  <c:v>8</c:v>
                </c:pt>
                <c:pt idx="4">
                  <c:v>9</c:v>
                </c:pt>
                <c:pt idx="5">
                  <c:v>10</c:v>
                </c:pt>
                <c:pt idx="6">
                  <c:v>11</c:v>
                </c:pt>
                <c:pt idx="7">
                  <c:v>12</c:v>
                </c:pt>
                <c:pt idx="8">
                  <c:v>13</c:v>
                </c:pt>
                <c:pt idx="9">
                  <c:v>14</c:v>
                </c:pt>
                <c:pt idx="10">
                  <c:v>15</c:v>
                </c:pt>
                <c:pt idx="11">
                  <c:v>16</c:v>
                </c:pt>
                <c:pt idx="12">
                  <c:v>17</c:v>
                </c:pt>
                <c:pt idx="13">
                  <c:v>18</c:v>
                </c:pt>
                <c:pt idx="14">
                  <c:v>19</c:v>
                </c:pt>
                <c:pt idx="15">
                  <c:v>20</c:v>
                </c:pt>
                <c:pt idx="16">
                  <c:v>21</c:v>
                </c:pt>
                <c:pt idx="17">
                  <c:v>22</c:v>
                </c:pt>
                <c:pt idx="18">
                  <c:v>23</c:v>
                </c:pt>
                <c:pt idx="19">
                  <c:v>24</c:v>
                </c:pt>
                <c:pt idx="20">
                  <c:v>25</c:v>
                </c:pt>
              </c:numCache>
            </c:numRef>
          </c:xVal>
          <c:yVal>
            <c:numRef>
              <c:f>Input!$AE$77:$AE$97</c:f>
              <c:numCache>
                <c:formatCode>_(* #,##0.00_);_(* \(#,##0.00\);_(* "-"??_);_(@_)</c:formatCode>
                <c:ptCount val="21"/>
                <c:pt idx="0">
                  <c:v>0.16527777777777777</c:v>
                </c:pt>
                <c:pt idx="1">
                  <c:v>0.15740740740740741</c:v>
                </c:pt>
                <c:pt idx="2">
                  <c:v>0.15178571428571427</c:v>
                </c:pt>
                <c:pt idx="3">
                  <c:v>0.14756944444444445</c:v>
                </c:pt>
                <c:pt idx="4">
                  <c:v>0.15740740740740741</c:v>
                </c:pt>
                <c:pt idx="5">
                  <c:v>0.15347222222222223</c:v>
                </c:pt>
                <c:pt idx="6">
                  <c:v>0.15025252525252525</c:v>
                </c:pt>
                <c:pt idx="7">
                  <c:v>0.14756944444444445</c:v>
                </c:pt>
                <c:pt idx="8">
                  <c:v>0.15438034188034189</c:v>
                </c:pt>
                <c:pt idx="9">
                  <c:v>0.15178571428571427</c:v>
                </c:pt>
                <c:pt idx="10">
                  <c:v>0.14953703703703702</c:v>
                </c:pt>
                <c:pt idx="11">
                  <c:v>0.14756944444444445</c:v>
                </c:pt>
                <c:pt idx="12">
                  <c:v>0.15277777777777779</c:v>
                </c:pt>
                <c:pt idx="13">
                  <c:v>0.15084876543209877</c:v>
                </c:pt>
                <c:pt idx="14">
                  <c:v>0.14912280701754385</c:v>
                </c:pt>
                <c:pt idx="15">
                  <c:v>0.14756944444444445</c:v>
                </c:pt>
                <c:pt idx="16">
                  <c:v>0.15178571428571427</c:v>
                </c:pt>
                <c:pt idx="17">
                  <c:v>0.15025252525252525</c:v>
                </c:pt>
                <c:pt idx="18">
                  <c:v>0.14885265700483091</c:v>
                </c:pt>
                <c:pt idx="19">
                  <c:v>0.14756944444444445</c:v>
                </c:pt>
                <c:pt idx="20">
                  <c:v>0.15111111111111111</c:v>
                </c:pt>
              </c:numCache>
            </c:numRef>
          </c:yVal>
          <c:smooth val="0"/>
          <c:extLst>
            <c:ext xmlns:c16="http://schemas.microsoft.com/office/drawing/2014/chart" uri="{C3380CC4-5D6E-409C-BE32-E72D297353CC}">
              <c16:uniqueId val="{00000000-0442-40E1-8AE2-CE88A3B0B4E8}"/>
            </c:ext>
          </c:extLst>
        </c:ser>
        <c:ser>
          <c:idx val="1"/>
          <c:order val="1"/>
          <c:tx>
            <c:v>7,5 Km</c:v>
          </c:tx>
          <c:spPr>
            <a:ln w="19050" cap="rnd">
              <a:solidFill>
                <a:schemeClr val="accent2"/>
              </a:solidFill>
              <a:round/>
            </a:ln>
            <a:effectLst/>
          </c:spPr>
          <c:marker>
            <c:symbol val="none"/>
          </c:marker>
          <c:xVal>
            <c:numRef>
              <c:f>Input!$AD$77:$AD$97</c:f>
              <c:numCache>
                <c:formatCode>General</c:formatCode>
                <c:ptCount val="21"/>
                <c:pt idx="0">
                  <c:v>5</c:v>
                </c:pt>
                <c:pt idx="1">
                  <c:v>6</c:v>
                </c:pt>
                <c:pt idx="2">
                  <c:v>7</c:v>
                </c:pt>
                <c:pt idx="3">
                  <c:v>8</c:v>
                </c:pt>
                <c:pt idx="4">
                  <c:v>9</c:v>
                </c:pt>
                <c:pt idx="5">
                  <c:v>10</c:v>
                </c:pt>
                <c:pt idx="6">
                  <c:v>11</c:v>
                </c:pt>
                <c:pt idx="7">
                  <c:v>12</c:v>
                </c:pt>
                <c:pt idx="8">
                  <c:v>13</c:v>
                </c:pt>
                <c:pt idx="9">
                  <c:v>14</c:v>
                </c:pt>
                <c:pt idx="10">
                  <c:v>15</c:v>
                </c:pt>
                <c:pt idx="11">
                  <c:v>16</c:v>
                </c:pt>
                <c:pt idx="12">
                  <c:v>17</c:v>
                </c:pt>
                <c:pt idx="13">
                  <c:v>18</c:v>
                </c:pt>
                <c:pt idx="14">
                  <c:v>19</c:v>
                </c:pt>
                <c:pt idx="15">
                  <c:v>20</c:v>
                </c:pt>
                <c:pt idx="16">
                  <c:v>21</c:v>
                </c:pt>
                <c:pt idx="17">
                  <c:v>22</c:v>
                </c:pt>
                <c:pt idx="18">
                  <c:v>23</c:v>
                </c:pt>
                <c:pt idx="19">
                  <c:v>24</c:v>
                </c:pt>
                <c:pt idx="20">
                  <c:v>25</c:v>
                </c:pt>
              </c:numCache>
            </c:numRef>
          </c:xVal>
          <c:yVal>
            <c:numRef>
              <c:f>Input!$AF$77:$AF$97</c:f>
              <c:numCache>
                <c:formatCode>_(* #,##0.00_);_(* \(#,##0.00\);_(* "-"??_);_(@_)</c:formatCode>
                <c:ptCount val="21"/>
                <c:pt idx="0">
                  <c:v>0.17499999999999999</c:v>
                </c:pt>
                <c:pt idx="1">
                  <c:v>0.16666666666666666</c:v>
                </c:pt>
                <c:pt idx="2">
                  <c:v>0.16071428571428573</c:v>
                </c:pt>
                <c:pt idx="3">
                  <c:v>0.15625</c:v>
                </c:pt>
                <c:pt idx="4">
                  <c:v>0.16666666666666666</c:v>
                </c:pt>
                <c:pt idx="5">
                  <c:v>0.16250000000000001</c:v>
                </c:pt>
                <c:pt idx="6">
                  <c:v>0.15909090909090909</c:v>
                </c:pt>
                <c:pt idx="7">
                  <c:v>0.15625</c:v>
                </c:pt>
                <c:pt idx="8">
                  <c:v>0.16346153846153846</c:v>
                </c:pt>
                <c:pt idx="9">
                  <c:v>0.16071428571428573</c:v>
                </c:pt>
                <c:pt idx="10">
                  <c:v>0.15833333333333333</c:v>
                </c:pt>
                <c:pt idx="11">
                  <c:v>0.15625</c:v>
                </c:pt>
                <c:pt idx="12">
                  <c:v>0.16176470588235295</c:v>
                </c:pt>
                <c:pt idx="13">
                  <c:v>0.15972222222222221</c:v>
                </c:pt>
                <c:pt idx="14">
                  <c:v>0.15789473684210525</c:v>
                </c:pt>
                <c:pt idx="15">
                  <c:v>0.15625</c:v>
                </c:pt>
                <c:pt idx="16">
                  <c:v>0.16071428571428573</c:v>
                </c:pt>
                <c:pt idx="17">
                  <c:v>0.15909090909090909</c:v>
                </c:pt>
                <c:pt idx="18">
                  <c:v>0.15760869565217392</c:v>
                </c:pt>
                <c:pt idx="19">
                  <c:v>0.15625</c:v>
                </c:pt>
                <c:pt idx="20">
                  <c:v>0.16</c:v>
                </c:pt>
              </c:numCache>
            </c:numRef>
          </c:yVal>
          <c:smooth val="0"/>
          <c:extLst>
            <c:ext xmlns:c16="http://schemas.microsoft.com/office/drawing/2014/chart" uri="{C3380CC4-5D6E-409C-BE32-E72D297353CC}">
              <c16:uniqueId val="{00000001-0442-40E1-8AE2-CE88A3B0B4E8}"/>
            </c:ext>
          </c:extLst>
        </c:ser>
        <c:ser>
          <c:idx val="2"/>
          <c:order val="2"/>
          <c:tx>
            <c:v>10 Km</c:v>
          </c:tx>
          <c:spPr>
            <a:ln w="19050" cap="rnd">
              <a:solidFill>
                <a:schemeClr val="accent3"/>
              </a:solidFill>
              <a:round/>
            </a:ln>
            <a:effectLst/>
          </c:spPr>
          <c:marker>
            <c:symbol val="none"/>
          </c:marker>
          <c:xVal>
            <c:numRef>
              <c:f>Input!$AD$77:$AD$97</c:f>
              <c:numCache>
                <c:formatCode>General</c:formatCode>
                <c:ptCount val="21"/>
                <c:pt idx="0">
                  <c:v>5</c:v>
                </c:pt>
                <c:pt idx="1">
                  <c:v>6</c:v>
                </c:pt>
                <c:pt idx="2">
                  <c:v>7</c:v>
                </c:pt>
                <c:pt idx="3">
                  <c:v>8</c:v>
                </c:pt>
                <c:pt idx="4">
                  <c:v>9</c:v>
                </c:pt>
                <c:pt idx="5">
                  <c:v>10</c:v>
                </c:pt>
                <c:pt idx="6">
                  <c:v>11</c:v>
                </c:pt>
                <c:pt idx="7">
                  <c:v>12</c:v>
                </c:pt>
                <c:pt idx="8">
                  <c:v>13</c:v>
                </c:pt>
                <c:pt idx="9">
                  <c:v>14</c:v>
                </c:pt>
                <c:pt idx="10">
                  <c:v>15</c:v>
                </c:pt>
                <c:pt idx="11">
                  <c:v>16</c:v>
                </c:pt>
                <c:pt idx="12">
                  <c:v>17</c:v>
                </c:pt>
                <c:pt idx="13">
                  <c:v>18</c:v>
                </c:pt>
                <c:pt idx="14">
                  <c:v>19</c:v>
                </c:pt>
                <c:pt idx="15">
                  <c:v>20</c:v>
                </c:pt>
                <c:pt idx="16">
                  <c:v>21</c:v>
                </c:pt>
                <c:pt idx="17">
                  <c:v>22</c:v>
                </c:pt>
                <c:pt idx="18">
                  <c:v>23</c:v>
                </c:pt>
                <c:pt idx="19">
                  <c:v>24</c:v>
                </c:pt>
                <c:pt idx="20">
                  <c:v>25</c:v>
                </c:pt>
              </c:numCache>
            </c:numRef>
          </c:xVal>
          <c:yVal>
            <c:numRef>
              <c:f>Input!$AG$77:$AG$97</c:f>
              <c:numCache>
                <c:formatCode>_(* #,##0.00_);_(* \(#,##0.00\);_(* "-"??_);_(@_)</c:formatCode>
                <c:ptCount val="21"/>
                <c:pt idx="0">
                  <c:v>0.18472222222222223</c:v>
                </c:pt>
                <c:pt idx="1">
                  <c:v>0.17592592592592593</c:v>
                </c:pt>
                <c:pt idx="2">
                  <c:v>0.16964285714285715</c:v>
                </c:pt>
                <c:pt idx="3">
                  <c:v>0.16493055555555555</c:v>
                </c:pt>
                <c:pt idx="4">
                  <c:v>0.17592592592592593</c:v>
                </c:pt>
                <c:pt idx="5">
                  <c:v>0.17152777777777778</c:v>
                </c:pt>
                <c:pt idx="6">
                  <c:v>0.16792929292929293</c:v>
                </c:pt>
                <c:pt idx="7">
                  <c:v>0.16493055555555555</c:v>
                </c:pt>
                <c:pt idx="8">
                  <c:v>0.17254273504273504</c:v>
                </c:pt>
                <c:pt idx="9">
                  <c:v>0.16964285714285715</c:v>
                </c:pt>
                <c:pt idx="10">
                  <c:v>0.16712962962962963</c:v>
                </c:pt>
                <c:pt idx="11">
                  <c:v>0.16493055555555555</c:v>
                </c:pt>
                <c:pt idx="12">
                  <c:v>0.17075163398692811</c:v>
                </c:pt>
                <c:pt idx="13">
                  <c:v>0.16859567901234568</c:v>
                </c:pt>
                <c:pt idx="14">
                  <c:v>0.16666666666666666</c:v>
                </c:pt>
                <c:pt idx="15">
                  <c:v>0.16493055555555555</c:v>
                </c:pt>
                <c:pt idx="16">
                  <c:v>0.16964285714285715</c:v>
                </c:pt>
                <c:pt idx="17">
                  <c:v>0.16792929292929293</c:v>
                </c:pt>
                <c:pt idx="18">
                  <c:v>0.1663647342995169</c:v>
                </c:pt>
                <c:pt idx="19">
                  <c:v>0.16493055555555555</c:v>
                </c:pt>
                <c:pt idx="20">
                  <c:v>0.16888888888888889</c:v>
                </c:pt>
              </c:numCache>
            </c:numRef>
          </c:yVal>
          <c:smooth val="0"/>
          <c:extLst>
            <c:ext xmlns:c16="http://schemas.microsoft.com/office/drawing/2014/chart" uri="{C3380CC4-5D6E-409C-BE32-E72D297353CC}">
              <c16:uniqueId val="{00000002-0442-40E1-8AE2-CE88A3B0B4E8}"/>
            </c:ext>
          </c:extLst>
        </c:ser>
        <c:ser>
          <c:idx val="3"/>
          <c:order val="3"/>
          <c:tx>
            <c:v>15 Km</c:v>
          </c:tx>
          <c:spPr>
            <a:ln w="19050" cap="rnd">
              <a:solidFill>
                <a:schemeClr val="accent4"/>
              </a:solidFill>
              <a:round/>
            </a:ln>
            <a:effectLst/>
          </c:spPr>
          <c:marker>
            <c:symbol val="none"/>
          </c:marker>
          <c:xVal>
            <c:numRef>
              <c:f>Input!$AD$77:$AD$97</c:f>
              <c:numCache>
                <c:formatCode>General</c:formatCode>
                <c:ptCount val="21"/>
                <c:pt idx="0">
                  <c:v>5</c:v>
                </c:pt>
                <c:pt idx="1">
                  <c:v>6</c:v>
                </c:pt>
                <c:pt idx="2">
                  <c:v>7</c:v>
                </c:pt>
                <c:pt idx="3">
                  <c:v>8</c:v>
                </c:pt>
                <c:pt idx="4">
                  <c:v>9</c:v>
                </c:pt>
                <c:pt idx="5">
                  <c:v>10</c:v>
                </c:pt>
                <c:pt idx="6">
                  <c:v>11</c:v>
                </c:pt>
                <c:pt idx="7">
                  <c:v>12</c:v>
                </c:pt>
                <c:pt idx="8">
                  <c:v>13</c:v>
                </c:pt>
                <c:pt idx="9">
                  <c:v>14</c:v>
                </c:pt>
                <c:pt idx="10">
                  <c:v>15</c:v>
                </c:pt>
                <c:pt idx="11">
                  <c:v>16</c:v>
                </c:pt>
                <c:pt idx="12">
                  <c:v>17</c:v>
                </c:pt>
                <c:pt idx="13">
                  <c:v>18</c:v>
                </c:pt>
                <c:pt idx="14">
                  <c:v>19</c:v>
                </c:pt>
                <c:pt idx="15">
                  <c:v>20</c:v>
                </c:pt>
                <c:pt idx="16">
                  <c:v>21</c:v>
                </c:pt>
                <c:pt idx="17">
                  <c:v>22</c:v>
                </c:pt>
                <c:pt idx="18">
                  <c:v>23</c:v>
                </c:pt>
                <c:pt idx="19">
                  <c:v>24</c:v>
                </c:pt>
                <c:pt idx="20">
                  <c:v>25</c:v>
                </c:pt>
              </c:numCache>
            </c:numRef>
          </c:xVal>
          <c:yVal>
            <c:numRef>
              <c:f>Input!$AH$77:$AH$97</c:f>
              <c:numCache>
                <c:formatCode>_(* #,##0.00_);_(* \(#,##0.00\);_(* "-"??_);_(@_)</c:formatCode>
                <c:ptCount val="21"/>
                <c:pt idx="0">
                  <c:v>0.20416666666666666</c:v>
                </c:pt>
                <c:pt idx="1">
                  <c:v>0.19444444444444445</c:v>
                </c:pt>
                <c:pt idx="2" formatCode="_ * #,##0.000_ ;_ * \-#,##0.000_ ;_ * &quot;-&quot;??_ ;_ @_ ">
                  <c:v>0.1875</c:v>
                </c:pt>
                <c:pt idx="3">
                  <c:v>0.18229166666666666</c:v>
                </c:pt>
                <c:pt idx="4">
                  <c:v>0.19444444444444445</c:v>
                </c:pt>
                <c:pt idx="5">
                  <c:v>0.18958333333333333</c:v>
                </c:pt>
                <c:pt idx="6">
                  <c:v>0.18560606060606061</c:v>
                </c:pt>
                <c:pt idx="7">
                  <c:v>0.18229166666666666</c:v>
                </c:pt>
                <c:pt idx="8">
                  <c:v>0.19070512820512819</c:v>
                </c:pt>
                <c:pt idx="9">
                  <c:v>0.1875</c:v>
                </c:pt>
                <c:pt idx="10">
                  <c:v>0.18472222222222223</c:v>
                </c:pt>
                <c:pt idx="11">
                  <c:v>0.18229166666666666</c:v>
                </c:pt>
                <c:pt idx="12">
                  <c:v>0.18872549019607843</c:v>
                </c:pt>
                <c:pt idx="13">
                  <c:v>0.18634259259259259</c:v>
                </c:pt>
                <c:pt idx="14">
                  <c:v>0.18421052631578946</c:v>
                </c:pt>
                <c:pt idx="15">
                  <c:v>0.18229166666666666</c:v>
                </c:pt>
                <c:pt idx="16">
                  <c:v>0.1875</c:v>
                </c:pt>
                <c:pt idx="17">
                  <c:v>0.18560606060606061</c:v>
                </c:pt>
                <c:pt idx="18">
                  <c:v>0.18387681159420291</c:v>
                </c:pt>
                <c:pt idx="19">
                  <c:v>0.18229166666666666</c:v>
                </c:pt>
                <c:pt idx="20">
                  <c:v>0.18666666666666668</c:v>
                </c:pt>
              </c:numCache>
            </c:numRef>
          </c:yVal>
          <c:smooth val="0"/>
          <c:extLst>
            <c:ext xmlns:c16="http://schemas.microsoft.com/office/drawing/2014/chart" uri="{C3380CC4-5D6E-409C-BE32-E72D297353CC}">
              <c16:uniqueId val="{00000003-0442-40E1-8AE2-CE88A3B0B4E8}"/>
            </c:ext>
          </c:extLst>
        </c:ser>
        <c:ser>
          <c:idx val="4"/>
          <c:order val="4"/>
          <c:tx>
            <c:v>20 Km</c:v>
          </c:tx>
          <c:spPr>
            <a:ln w="19050" cap="rnd">
              <a:solidFill>
                <a:schemeClr val="accent5"/>
              </a:solidFill>
              <a:round/>
            </a:ln>
            <a:effectLst/>
          </c:spPr>
          <c:marker>
            <c:symbol val="none"/>
          </c:marker>
          <c:xVal>
            <c:numRef>
              <c:f>Input!$AD$77:$AD$97</c:f>
              <c:numCache>
                <c:formatCode>General</c:formatCode>
                <c:ptCount val="21"/>
                <c:pt idx="0">
                  <c:v>5</c:v>
                </c:pt>
                <c:pt idx="1">
                  <c:v>6</c:v>
                </c:pt>
                <c:pt idx="2">
                  <c:v>7</c:v>
                </c:pt>
                <c:pt idx="3">
                  <c:v>8</c:v>
                </c:pt>
                <c:pt idx="4">
                  <c:v>9</c:v>
                </c:pt>
                <c:pt idx="5">
                  <c:v>10</c:v>
                </c:pt>
                <c:pt idx="6">
                  <c:v>11</c:v>
                </c:pt>
                <c:pt idx="7">
                  <c:v>12</c:v>
                </c:pt>
                <c:pt idx="8">
                  <c:v>13</c:v>
                </c:pt>
                <c:pt idx="9">
                  <c:v>14</c:v>
                </c:pt>
                <c:pt idx="10">
                  <c:v>15</c:v>
                </c:pt>
                <c:pt idx="11">
                  <c:v>16</c:v>
                </c:pt>
                <c:pt idx="12">
                  <c:v>17</c:v>
                </c:pt>
                <c:pt idx="13">
                  <c:v>18</c:v>
                </c:pt>
                <c:pt idx="14">
                  <c:v>19</c:v>
                </c:pt>
                <c:pt idx="15">
                  <c:v>20</c:v>
                </c:pt>
                <c:pt idx="16">
                  <c:v>21</c:v>
                </c:pt>
                <c:pt idx="17">
                  <c:v>22</c:v>
                </c:pt>
                <c:pt idx="18">
                  <c:v>23</c:v>
                </c:pt>
                <c:pt idx="19">
                  <c:v>24</c:v>
                </c:pt>
                <c:pt idx="20">
                  <c:v>25</c:v>
                </c:pt>
              </c:numCache>
            </c:numRef>
          </c:xVal>
          <c:yVal>
            <c:numRef>
              <c:f>Input!$AI$77:$AI$97</c:f>
              <c:numCache>
                <c:formatCode>_(* #,##0.00_);_(* \(#,##0.00\);_(* "-"??_);_(@_)</c:formatCode>
                <c:ptCount val="21"/>
                <c:pt idx="0">
                  <c:v>0.22361111111111112</c:v>
                </c:pt>
                <c:pt idx="1">
                  <c:v>0.21296296296296297</c:v>
                </c:pt>
                <c:pt idx="2">
                  <c:v>0.20535714285714285</c:v>
                </c:pt>
                <c:pt idx="3">
                  <c:v>0.19965277777777779</c:v>
                </c:pt>
                <c:pt idx="4">
                  <c:v>0.21296296296296297</c:v>
                </c:pt>
                <c:pt idx="5">
                  <c:v>0.2076388888888889</c:v>
                </c:pt>
                <c:pt idx="6">
                  <c:v>0.20328282828282829</c:v>
                </c:pt>
                <c:pt idx="7">
                  <c:v>0.19965277777777779</c:v>
                </c:pt>
                <c:pt idx="8">
                  <c:v>0.20886752136752137</c:v>
                </c:pt>
                <c:pt idx="9">
                  <c:v>0.20535714285714285</c:v>
                </c:pt>
                <c:pt idx="10">
                  <c:v>0.20231481481481481</c:v>
                </c:pt>
                <c:pt idx="11">
                  <c:v>0.19965277777777779</c:v>
                </c:pt>
                <c:pt idx="12">
                  <c:v>0.20669934640522875</c:v>
                </c:pt>
                <c:pt idx="13">
                  <c:v>0.2040895061728395</c:v>
                </c:pt>
                <c:pt idx="14">
                  <c:v>0.20175438596491227</c:v>
                </c:pt>
                <c:pt idx="15">
                  <c:v>0.19965277777777779</c:v>
                </c:pt>
                <c:pt idx="16">
                  <c:v>0.20535714285714285</c:v>
                </c:pt>
                <c:pt idx="17">
                  <c:v>0.20328282828282829</c:v>
                </c:pt>
                <c:pt idx="18">
                  <c:v>0.2013888888888889</c:v>
                </c:pt>
                <c:pt idx="19">
                  <c:v>0.19965277777777779</c:v>
                </c:pt>
                <c:pt idx="20">
                  <c:v>0.20444444444444446</c:v>
                </c:pt>
              </c:numCache>
            </c:numRef>
          </c:yVal>
          <c:smooth val="0"/>
          <c:extLst>
            <c:ext xmlns:c16="http://schemas.microsoft.com/office/drawing/2014/chart" uri="{C3380CC4-5D6E-409C-BE32-E72D297353CC}">
              <c16:uniqueId val="{00000004-0442-40E1-8AE2-CE88A3B0B4E8}"/>
            </c:ext>
          </c:extLst>
        </c:ser>
        <c:dLbls>
          <c:showLegendKey val="0"/>
          <c:showVal val="0"/>
          <c:showCatName val="0"/>
          <c:showSerName val="0"/>
          <c:showPercent val="0"/>
          <c:showBubbleSize val="0"/>
        </c:dLbls>
        <c:axId val="1484237919"/>
        <c:axId val="1484229599"/>
      </c:scatterChart>
      <c:valAx>
        <c:axId val="1484237919"/>
        <c:scaling>
          <c:orientation val="minMax"/>
          <c:max val="25"/>
          <c:min val="4"/>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nl-NL"/>
                  <a:t>aantal deelnemende scholen</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1484229599"/>
        <c:crosses val="autoZero"/>
        <c:crossBetween val="midCat"/>
        <c:majorUnit val="2"/>
      </c:valAx>
      <c:valAx>
        <c:axId val="1484229599"/>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Final mile kosten per lunch in €</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title>
        <c:numFmt formatCode="_(* #,##0.00_);_(* \(#,##0.00\);_(* &quot;-&quot;??_);_(@_)"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1484237919"/>
        <c:crosses val="autoZero"/>
        <c:crossBetween val="midCat"/>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'Scenario '!$B$2</c:f>
          <c:strCache>
            <c:ptCount val="1"/>
            <c:pt idx="0">
              <c:v>Logistieke kosten per lunch bij verschillende scenario's</c:v>
            </c:pt>
          </c:strCache>
        </c:strRef>
      </c:tx>
      <c:layout>
        <c:manualLayout>
          <c:xMode val="edge"/>
          <c:yMode val="edge"/>
          <c:x val="8.7885556549032254E-2"/>
          <c:y val="4.629629629629629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barChart>
        <c:barDir val="col"/>
        <c:grouping val="stacked"/>
        <c:varyColors val="0"/>
        <c:ser>
          <c:idx val="0"/>
          <c:order val="0"/>
          <c:tx>
            <c:strRef>
              <c:f>'Scenario '!$C$12</c:f>
              <c:strCache>
                <c:ptCount val="1"/>
                <c:pt idx="0">
                  <c:v>DB_collectiekosten_tuinders</c:v>
                </c:pt>
              </c:strCache>
            </c:strRef>
          </c:tx>
          <c:spPr>
            <a:solidFill>
              <a:schemeClr val="accent1"/>
            </a:solidFill>
            <a:ln>
              <a:noFill/>
            </a:ln>
            <a:effectLst/>
          </c:spPr>
          <c:invertIfNegative val="0"/>
          <c:cat>
            <c:strRef>
              <c:f>'Scenario '!$E$3:$N$3</c:f>
              <c:strCache>
                <c:ptCount val="10"/>
                <c:pt idx="0">
                  <c:v>Basis</c:v>
                </c:pt>
                <c:pt idx="1">
                  <c:v>1</c:v>
                </c:pt>
                <c:pt idx="2">
                  <c:v>2</c:v>
                </c:pt>
                <c:pt idx="3">
                  <c:v>3</c:v>
                </c:pt>
                <c:pt idx="4">
                  <c:v>4</c:v>
                </c:pt>
                <c:pt idx="5">
                  <c:v>5</c:v>
                </c:pt>
                <c:pt idx="6">
                  <c:v>6</c:v>
                </c:pt>
                <c:pt idx="7">
                  <c:v>7</c:v>
                </c:pt>
                <c:pt idx="8">
                  <c:v>8</c:v>
                </c:pt>
                <c:pt idx="9">
                  <c:v>9</c:v>
                </c:pt>
              </c:strCache>
            </c:strRef>
          </c:cat>
          <c:val>
            <c:numRef>
              <c:f>'Scenario '!$E$12:$N$12</c:f>
              <c:numCache>
                <c:formatCode>_("€"* #,##0.00_);_("€"* \(#,##0.00\);_("€"* "-"??_);_(@_)</c:formatCode>
                <c:ptCount val="10"/>
                <c:pt idx="0">
                  <c:v>6.9444444444444406E-2</c:v>
                </c:pt>
                <c:pt idx="1">
                  <c:v>0.121527777777778</c:v>
                </c:pt>
                <c:pt idx="2">
                  <c:v>0.121527777777778</c:v>
                </c:pt>
                <c:pt idx="3">
                  <c:v>0.121527777777778</c:v>
                </c:pt>
                <c:pt idx="4">
                  <c:v>3.2407407407407399E-2</c:v>
                </c:pt>
                <c:pt idx="5">
                  <c:v>3.2407407407407399E-2</c:v>
                </c:pt>
                <c:pt idx="6">
                  <c:v>3.2407407407407399E-2</c:v>
                </c:pt>
                <c:pt idx="7">
                  <c:v>1.6203703703703699E-2</c:v>
                </c:pt>
                <c:pt idx="8">
                  <c:v>1.6203703703703699E-2</c:v>
                </c:pt>
                <c:pt idx="9">
                  <c:v>1.6203703703703699E-2</c:v>
                </c:pt>
              </c:numCache>
            </c:numRef>
          </c:val>
          <c:extLst>
            <c:ext xmlns:c16="http://schemas.microsoft.com/office/drawing/2014/chart" uri="{C3380CC4-5D6E-409C-BE32-E72D297353CC}">
              <c16:uniqueId val="{00000000-8465-4813-9074-4D597399DFC0}"/>
            </c:ext>
          </c:extLst>
        </c:ser>
        <c:ser>
          <c:idx val="1"/>
          <c:order val="1"/>
          <c:tx>
            <c:strRef>
              <c:f>'Scenario '!$C$13</c:f>
              <c:strCache>
                <c:ptCount val="1"/>
                <c:pt idx="0">
                  <c:v>DB_productie_kosten_hub</c:v>
                </c:pt>
              </c:strCache>
            </c:strRef>
          </c:tx>
          <c:spPr>
            <a:solidFill>
              <a:schemeClr val="accent2"/>
            </a:solidFill>
            <a:ln>
              <a:noFill/>
            </a:ln>
            <a:effectLst/>
          </c:spPr>
          <c:invertIfNegative val="0"/>
          <c:cat>
            <c:strRef>
              <c:f>'Scenario '!$E$3:$N$3</c:f>
              <c:strCache>
                <c:ptCount val="10"/>
                <c:pt idx="0">
                  <c:v>Basis</c:v>
                </c:pt>
                <c:pt idx="1">
                  <c:v>1</c:v>
                </c:pt>
                <c:pt idx="2">
                  <c:v>2</c:v>
                </c:pt>
                <c:pt idx="3">
                  <c:v>3</c:v>
                </c:pt>
                <c:pt idx="4">
                  <c:v>4</c:v>
                </c:pt>
                <c:pt idx="5">
                  <c:v>5</c:v>
                </c:pt>
                <c:pt idx="6">
                  <c:v>6</c:v>
                </c:pt>
                <c:pt idx="7">
                  <c:v>7</c:v>
                </c:pt>
                <c:pt idx="8">
                  <c:v>8</c:v>
                </c:pt>
                <c:pt idx="9">
                  <c:v>9</c:v>
                </c:pt>
              </c:strCache>
            </c:strRef>
          </c:cat>
          <c:val>
            <c:numRef>
              <c:f>'Scenario '!$E$13:$N$13</c:f>
              <c:numCache>
                <c:formatCode>_("€"* #,##0.00_);_("€"* \(#,##0.00\);_("€"* "-"??_);_(@_)</c:formatCode>
                <c:ptCount val="10"/>
                <c:pt idx="0">
                  <c:v>0.68900396825396804</c:v>
                </c:pt>
                <c:pt idx="1">
                  <c:v>0.62184027777777795</c:v>
                </c:pt>
                <c:pt idx="2">
                  <c:v>0.65850694444444402</c:v>
                </c:pt>
                <c:pt idx="3">
                  <c:v>0.65850694444444402</c:v>
                </c:pt>
                <c:pt idx="4">
                  <c:v>0.54226851851851898</c:v>
                </c:pt>
                <c:pt idx="5">
                  <c:v>0.57893518518518505</c:v>
                </c:pt>
                <c:pt idx="6">
                  <c:v>0.57893518518518505</c:v>
                </c:pt>
                <c:pt idx="7">
                  <c:v>0.52780092592592598</c:v>
                </c:pt>
                <c:pt idx="8">
                  <c:v>0.56446759259259305</c:v>
                </c:pt>
                <c:pt idx="9">
                  <c:v>0.56446759259259305</c:v>
                </c:pt>
              </c:numCache>
            </c:numRef>
          </c:val>
          <c:extLst>
            <c:ext xmlns:c16="http://schemas.microsoft.com/office/drawing/2014/chart" uri="{C3380CC4-5D6E-409C-BE32-E72D297353CC}">
              <c16:uniqueId val="{00000001-8465-4813-9074-4D597399DFC0}"/>
            </c:ext>
          </c:extLst>
        </c:ser>
        <c:ser>
          <c:idx val="2"/>
          <c:order val="2"/>
          <c:tx>
            <c:strRef>
              <c:f>'Scenario '!$C$14</c:f>
              <c:strCache>
                <c:ptCount val="1"/>
                <c:pt idx="0">
                  <c:v>DB_logistieke_kosten_final_mile</c:v>
                </c:pt>
              </c:strCache>
            </c:strRef>
          </c:tx>
          <c:spPr>
            <a:solidFill>
              <a:schemeClr val="accent3"/>
            </a:solidFill>
            <a:ln>
              <a:noFill/>
            </a:ln>
            <a:effectLst/>
          </c:spPr>
          <c:invertIfNegative val="0"/>
          <c:cat>
            <c:strRef>
              <c:f>'Scenario '!$E$3:$N$3</c:f>
              <c:strCache>
                <c:ptCount val="10"/>
                <c:pt idx="0">
                  <c:v>Basis</c:v>
                </c:pt>
                <c:pt idx="1">
                  <c:v>1</c:v>
                </c:pt>
                <c:pt idx="2">
                  <c:v>2</c:v>
                </c:pt>
                <c:pt idx="3">
                  <c:v>3</c:v>
                </c:pt>
                <c:pt idx="4">
                  <c:v>4</c:v>
                </c:pt>
                <c:pt idx="5">
                  <c:v>5</c:v>
                </c:pt>
                <c:pt idx="6">
                  <c:v>6</c:v>
                </c:pt>
                <c:pt idx="7">
                  <c:v>7</c:v>
                </c:pt>
                <c:pt idx="8">
                  <c:v>8</c:v>
                </c:pt>
                <c:pt idx="9">
                  <c:v>9</c:v>
                </c:pt>
              </c:strCache>
            </c:strRef>
          </c:cat>
          <c:val>
            <c:numRef>
              <c:f>'Scenario '!$E$14:$N$14</c:f>
              <c:numCache>
                <c:formatCode>_("€"* #,##0.00_);_("€"* \(#,##0.00\);_("€"* "-"??_);_(@_)</c:formatCode>
                <c:ptCount val="10"/>
                <c:pt idx="0">
                  <c:v>0.1875</c:v>
                </c:pt>
                <c:pt idx="1">
                  <c:v>0.18229166666666699</c:v>
                </c:pt>
                <c:pt idx="2">
                  <c:v>0.18229166666666699</c:v>
                </c:pt>
                <c:pt idx="3">
                  <c:v>0.18229166666666699</c:v>
                </c:pt>
                <c:pt idx="4">
                  <c:v>0.15833333333333299</c:v>
                </c:pt>
                <c:pt idx="5">
                  <c:v>0.15833333333333299</c:v>
                </c:pt>
                <c:pt idx="6">
                  <c:v>0.15833333333333299</c:v>
                </c:pt>
                <c:pt idx="7">
                  <c:v>0.15092592592592599</c:v>
                </c:pt>
                <c:pt idx="8">
                  <c:v>0.15092592592592599</c:v>
                </c:pt>
                <c:pt idx="9">
                  <c:v>0.15092592592592599</c:v>
                </c:pt>
              </c:numCache>
            </c:numRef>
          </c:val>
          <c:extLst>
            <c:ext xmlns:c16="http://schemas.microsoft.com/office/drawing/2014/chart" uri="{C3380CC4-5D6E-409C-BE32-E72D297353CC}">
              <c16:uniqueId val="{00000002-8465-4813-9074-4D597399DFC0}"/>
            </c:ext>
          </c:extLst>
        </c:ser>
        <c:ser>
          <c:idx val="3"/>
          <c:order val="3"/>
          <c:tx>
            <c:strRef>
              <c:f>'Scenario '!$C$15</c:f>
              <c:strCache>
                <c:ptCount val="1"/>
                <c:pt idx="0">
                  <c:v>DB_uitserveerkosten</c:v>
                </c:pt>
              </c:strCache>
            </c:strRef>
          </c:tx>
          <c:spPr>
            <a:solidFill>
              <a:schemeClr val="accent4"/>
            </a:solidFill>
            <a:ln>
              <a:noFill/>
            </a:ln>
            <a:effectLst/>
          </c:spPr>
          <c:invertIfNegative val="0"/>
          <c:cat>
            <c:strRef>
              <c:f>'Scenario '!$E$3:$N$3</c:f>
              <c:strCache>
                <c:ptCount val="10"/>
                <c:pt idx="0">
                  <c:v>Basis</c:v>
                </c:pt>
                <c:pt idx="1">
                  <c:v>1</c:v>
                </c:pt>
                <c:pt idx="2">
                  <c:v>2</c:v>
                </c:pt>
                <c:pt idx="3">
                  <c:v>3</c:v>
                </c:pt>
                <c:pt idx="4">
                  <c:v>4</c:v>
                </c:pt>
                <c:pt idx="5">
                  <c:v>5</c:v>
                </c:pt>
                <c:pt idx="6">
                  <c:v>6</c:v>
                </c:pt>
                <c:pt idx="7">
                  <c:v>7</c:v>
                </c:pt>
                <c:pt idx="8">
                  <c:v>8</c:v>
                </c:pt>
                <c:pt idx="9">
                  <c:v>9</c:v>
                </c:pt>
              </c:strCache>
            </c:strRef>
          </c:cat>
          <c:val>
            <c:numRef>
              <c:f>'Scenario '!$E$15:$N$15</c:f>
              <c:numCache>
                <c:formatCode>_("€"* #,##0.00_);_("€"* \(#,##0.00\);_("€"* "-"??_);_(@_)</c:formatCode>
                <c:ptCount val="10"/>
                <c:pt idx="0">
                  <c:v>0</c:v>
                </c:pt>
                <c:pt idx="1">
                  <c:v>0</c:v>
                </c:pt>
                <c:pt idx="2">
                  <c:v>0</c:v>
                </c:pt>
                <c:pt idx="3">
                  <c:v>0.9375</c:v>
                </c:pt>
                <c:pt idx="4">
                  <c:v>0</c:v>
                </c:pt>
                <c:pt idx="5">
                  <c:v>0</c:v>
                </c:pt>
                <c:pt idx="6">
                  <c:v>0.9375</c:v>
                </c:pt>
                <c:pt idx="7">
                  <c:v>0</c:v>
                </c:pt>
                <c:pt idx="8">
                  <c:v>0</c:v>
                </c:pt>
                <c:pt idx="9">
                  <c:v>0.9375</c:v>
                </c:pt>
              </c:numCache>
            </c:numRef>
          </c:val>
          <c:extLst>
            <c:ext xmlns:c16="http://schemas.microsoft.com/office/drawing/2014/chart" uri="{C3380CC4-5D6E-409C-BE32-E72D297353CC}">
              <c16:uniqueId val="{00000003-8465-4813-9074-4D597399DFC0}"/>
            </c:ext>
          </c:extLst>
        </c:ser>
        <c:dLbls>
          <c:showLegendKey val="0"/>
          <c:showVal val="0"/>
          <c:showCatName val="0"/>
          <c:showSerName val="0"/>
          <c:showPercent val="0"/>
          <c:showBubbleSize val="0"/>
        </c:dLbls>
        <c:gapWidth val="150"/>
        <c:overlap val="100"/>
        <c:axId val="371921488"/>
        <c:axId val="371918992"/>
      </c:barChart>
      <c:catAx>
        <c:axId val="3719214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371918992"/>
        <c:crosses val="autoZero"/>
        <c:auto val="1"/>
        <c:lblAlgn val="ctr"/>
        <c:lblOffset val="100"/>
        <c:noMultiLvlLbl val="0"/>
      </c:catAx>
      <c:valAx>
        <c:axId val="371918992"/>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3719214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editAs="oneCell">
    <xdr:from>
      <xdr:col>17</xdr:col>
      <xdr:colOff>133350</xdr:colOff>
      <xdr:row>0</xdr:row>
      <xdr:rowOff>95250</xdr:rowOff>
    </xdr:from>
    <xdr:to>
      <xdr:col>19</xdr:col>
      <xdr:colOff>53900</xdr:colOff>
      <xdr:row>6</xdr:row>
      <xdr:rowOff>92000</xdr:rowOff>
    </xdr:to>
    <xdr:pic>
      <xdr:nvPicPr>
        <xdr:cNvPr id="2" name="Afbeelding 1" descr="Regieorgaan SIA (@kennisbundel) / Twitter">
          <a:extLst>
            <a:ext uri="{FF2B5EF4-FFF2-40B4-BE49-F238E27FC236}">
              <a16:creationId xmlns:a16="http://schemas.microsoft.com/office/drawing/2014/main" id="{CF0722A0-6C04-46F5-8587-C2183F51EE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515600" y="95250"/>
          <a:ext cx="1139750" cy="1139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552451</xdr:colOff>
      <xdr:row>4</xdr:row>
      <xdr:rowOff>76201</xdr:rowOff>
    </xdr:from>
    <xdr:to>
      <xdr:col>4</xdr:col>
      <xdr:colOff>128024</xdr:colOff>
      <xdr:row>11</xdr:row>
      <xdr:rowOff>95250</xdr:rowOff>
    </xdr:to>
    <xdr:pic>
      <xdr:nvPicPr>
        <xdr:cNvPr id="3" name="Picture 2">
          <a:extLst>
            <a:ext uri="{FF2B5EF4-FFF2-40B4-BE49-F238E27FC236}">
              <a16:creationId xmlns:a16="http://schemas.microsoft.com/office/drawing/2014/main" id="{B86B59C3-195E-4D1F-992B-4BC78EC90D78}"/>
            </a:ext>
          </a:extLst>
        </xdr:cNvPr>
        <xdr:cNvPicPr>
          <a:picLocks noChangeAspect="1"/>
        </xdr:cNvPicPr>
      </xdr:nvPicPr>
      <xdr:blipFill>
        <a:blip xmlns:r="http://schemas.openxmlformats.org/officeDocument/2006/relationships" r:embed="rId2"/>
        <a:stretch>
          <a:fillRect/>
        </a:stretch>
      </xdr:blipFill>
      <xdr:spPr>
        <a:xfrm>
          <a:off x="552451" y="838201"/>
          <a:ext cx="2287023" cy="13811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279640</xdr:colOff>
      <xdr:row>2</xdr:row>
      <xdr:rowOff>118293</xdr:rowOff>
    </xdr:from>
    <xdr:to>
      <xdr:col>8</xdr:col>
      <xdr:colOff>248276</xdr:colOff>
      <xdr:row>4</xdr:row>
      <xdr:rowOff>151967</xdr:rowOff>
    </xdr:to>
    <mc:AlternateContent xmlns:mc="http://schemas.openxmlformats.org/markup-compatibility/2006" xmlns:sle15="http://schemas.microsoft.com/office/drawing/2012/slicer">
      <mc:Choice Requires="sle15">
        <xdr:graphicFrame macro="">
          <xdr:nvGraphicFramePr>
            <xdr:cNvPr id="2" name="input">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microsoft.com/office/drawing/2010/slicer">
              <sle:slicer xmlns:sle="http://schemas.microsoft.com/office/drawing/2010/slicer" name="input"/>
            </a:graphicData>
          </a:graphic>
        </xdr:graphicFrame>
      </mc:Choice>
      <mc:Fallback xmlns="">
        <xdr:sp macro="" textlink="">
          <xdr:nvSpPr>
            <xdr:cNvPr id="0" name=""/>
            <xdr:cNvSpPr>
              <a:spLocks noTextEdit="1"/>
            </xdr:cNvSpPr>
          </xdr:nvSpPr>
          <xdr:spPr>
            <a:xfrm>
              <a:off x="279640" y="499293"/>
              <a:ext cx="9238337" cy="414674"/>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xdr:from>
      <xdr:col>10</xdr:col>
      <xdr:colOff>434560</xdr:colOff>
      <xdr:row>127</xdr:row>
      <xdr:rowOff>173476</xdr:rowOff>
    </xdr:from>
    <xdr:to>
      <xdr:col>15</xdr:col>
      <xdr:colOff>376568</xdr:colOff>
      <xdr:row>140</xdr:row>
      <xdr:rowOff>87858</xdr:rowOff>
    </xdr:to>
    <xdr:graphicFrame macro="">
      <xdr:nvGraphicFramePr>
        <xdr:cNvPr id="7" name="Chart 6">
          <a:extLst>
            <a:ext uri="{FF2B5EF4-FFF2-40B4-BE49-F238E27FC236}">
              <a16:creationId xmlns:a16="http://schemas.microsoft.com/office/drawing/2014/main" id="{B05A2E4A-444B-46E2-BD42-1944A5DCF5A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287965</xdr:colOff>
      <xdr:row>142</xdr:row>
      <xdr:rowOff>44303</xdr:rowOff>
    </xdr:from>
    <xdr:to>
      <xdr:col>21</xdr:col>
      <xdr:colOff>232587</xdr:colOff>
      <xdr:row>154</xdr:row>
      <xdr:rowOff>135894</xdr:rowOff>
    </xdr:to>
    <xdr:graphicFrame macro="">
      <xdr:nvGraphicFramePr>
        <xdr:cNvPr id="8" name="Chart 7">
          <a:extLst>
            <a:ext uri="{FF2B5EF4-FFF2-40B4-BE49-F238E27FC236}">
              <a16:creationId xmlns:a16="http://schemas.microsoft.com/office/drawing/2014/main" id="{AEBC6867-C4D1-4ABB-B854-4A1D6B62A6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817861</xdr:colOff>
      <xdr:row>172</xdr:row>
      <xdr:rowOff>57979</xdr:rowOff>
    </xdr:from>
    <xdr:to>
      <xdr:col>19</xdr:col>
      <xdr:colOff>488675</xdr:colOff>
      <xdr:row>194</xdr:row>
      <xdr:rowOff>38909</xdr:rowOff>
    </xdr:to>
    <xdr:graphicFrame macro="">
      <xdr:nvGraphicFramePr>
        <xdr:cNvPr id="5" name="Chart 4">
          <a:extLst>
            <a:ext uri="{FF2B5EF4-FFF2-40B4-BE49-F238E27FC236}">
              <a16:creationId xmlns:a16="http://schemas.microsoft.com/office/drawing/2014/main" id="{60866357-C88F-4752-A348-9693A659A6B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26</xdr:col>
      <xdr:colOff>397566</xdr:colOff>
      <xdr:row>78</xdr:row>
      <xdr:rowOff>33130</xdr:rowOff>
    </xdr:from>
    <xdr:to>
      <xdr:col>34</xdr:col>
      <xdr:colOff>240195</xdr:colOff>
      <xdr:row>91</xdr:row>
      <xdr:rowOff>115957</xdr:rowOff>
    </xdr:to>
    <xdr:graphicFrame macro="">
      <xdr:nvGraphicFramePr>
        <xdr:cNvPr id="10" name="Chart 9">
          <a:extLst>
            <a:ext uri="{FF2B5EF4-FFF2-40B4-BE49-F238E27FC236}">
              <a16:creationId xmlns:a16="http://schemas.microsoft.com/office/drawing/2014/main" id="{EF4FB0E6-5448-4685-B06F-DF7A2F05E2F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4</xdr:col>
      <xdr:colOff>546287</xdr:colOff>
      <xdr:row>19</xdr:row>
      <xdr:rowOff>116680</xdr:rowOff>
    </xdr:from>
    <xdr:to>
      <xdr:col>15</xdr:col>
      <xdr:colOff>602315</xdr:colOff>
      <xdr:row>35</xdr:row>
      <xdr:rowOff>126066</xdr:rowOff>
    </xdr:to>
    <xdr:graphicFrame macro="">
      <xdr:nvGraphicFramePr>
        <xdr:cNvPr id="3" name="Chart 2">
          <a:extLst>
            <a:ext uri="{FF2B5EF4-FFF2-40B4-BE49-F238E27FC236}">
              <a16:creationId xmlns:a16="http://schemas.microsoft.com/office/drawing/2014/main" id="{B69C545A-D83E-4DE6-9106-EB8D4120DEE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7</xdr:col>
      <xdr:colOff>314739</xdr:colOff>
      <xdr:row>3</xdr:row>
      <xdr:rowOff>1</xdr:rowOff>
    </xdr:from>
    <xdr:to>
      <xdr:col>9</xdr:col>
      <xdr:colOff>745434</xdr:colOff>
      <xdr:row>3</xdr:row>
      <xdr:rowOff>190501</xdr:rowOff>
    </xdr:to>
    <xdr:sp macro="" textlink="">
      <xdr:nvSpPr>
        <xdr:cNvPr id="4" name="Arrow: Right 3">
          <a:extLst>
            <a:ext uri="{FF2B5EF4-FFF2-40B4-BE49-F238E27FC236}">
              <a16:creationId xmlns:a16="http://schemas.microsoft.com/office/drawing/2014/main" id="{39892ECB-FB3B-49FE-9375-EF67C192A709}"/>
            </a:ext>
          </a:extLst>
        </xdr:cNvPr>
        <xdr:cNvSpPr/>
      </xdr:nvSpPr>
      <xdr:spPr>
        <a:xfrm>
          <a:off x="8464826" y="762001"/>
          <a:ext cx="2782956" cy="1905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16</xdr:col>
      <xdr:colOff>0</xdr:colOff>
      <xdr:row>11</xdr:row>
      <xdr:rowOff>0</xdr:rowOff>
    </xdr:from>
    <xdr:to>
      <xdr:col>17</xdr:col>
      <xdr:colOff>16565</xdr:colOff>
      <xdr:row>12</xdr:row>
      <xdr:rowOff>0</xdr:rowOff>
    </xdr:to>
    <xdr:sp macro="" textlink="">
      <xdr:nvSpPr>
        <xdr:cNvPr id="5" name="Arrow: Right 4">
          <a:extLst>
            <a:ext uri="{FF2B5EF4-FFF2-40B4-BE49-F238E27FC236}">
              <a16:creationId xmlns:a16="http://schemas.microsoft.com/office/drawing/2014/main" id="{21708890-5F04-4673-8255-CB75347D9EC2}"/>
            </a:ext>
          </a:extLst>
        </xdr:cNvPr>
        <xdr:cNvSpPr/>
      </xdr:nvSpPr>
      <xdr:spPr>
        <a:xfrm>
          <a:off x="16333304" y="2658717"/>
          <a:ext cx="1532283" cy="1905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input" sourceName="input">
  <extLst>
    <x:ext xmlns:x15="http://schemas.microsoft.com/office/spreadsheetml/2010/11/main" uri="{2F2917AC-EB37-4324-AD4E-5DD8C200BD13}">
      <x15:tableSlicerCache tableId="1" column="1"/>
    </x:ext>
  </extLst>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input" cache="Slicer_input" caption="input" columnCount="6" showCaption="0" rowHeight="241300"/>
</slicers>
</file>

<file path=xl/tables/table1.xml><?xml version="1.0" encoding="utf-8"?>
<table xmlns="http://schemas.openxmlformats.org/spreadsheetml/2006/main" id="1" name="Tbl_voor_slicer" displayName="Tbl_voor_slicer" ref="Q5:Q121" totalsRowShown="0">
  <autoFilter ref="Q5:Q121"/>
  <tableColumns count="1">
    <tableColumn id="1" name="input"/>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microsoft.com/office/2007/relationships/slicer" Target="../slicers/slicer1.xml"/><Relationship Id="rId4" Type="http://schemas.openxmlformats.org/officeDocument/2006/relationships/table" Target="../tables/table1.xml"/></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G21"/>
  <sheetViews>
    <sheetView showGridLines="0" tabSelected="1" zoomScale="85" zoomScaleNormal="85" workbookViewId="0">
      <selection activeCell="G14" sqref="G14"/>
    </sheetView>
  </sheetViews>
  <sheetFormatPr defaultRowHeight="15" x14ac:dyDescent="0.25"/>
  <cols>
    <col min="4" max="4" width="13" customWidth="1"/>
  </cols>
  <sheetData>
    <row r="2" spans="2:7" x14ac:dyDescent="0.25">
      <c r="B2" s="274" t="s">
        <v>504</v>
      </c>
    </row>
    <row r="6" spans="2:7" x14ac:dyDescent="0.25">
      <c r="G6" t="s">
        <v>505</v>
      </c>
    </row>
    <row r="7" spans="2:7" ht="15.75" x14ac:dyDescent="0.25">
      <c r="G7" s="275" t="s">
        <v>506</v>
      </c>
    </row>
    <row r="8" spans="2:7" ht="15.75" x14ac:dyDescent="0.25">
      <c r="G8" s="275" t="s">
        <v>507</v>
      </c>
    </row>
    <row r="9" spans="2:7" ht="15.75" x14ac:dyDescent="0.25">
      <c r="G9" s="275" t="s">
        <v>508</v>
      </c>
    </row>
    <row r="14" spans="2:7" x14ac:dyDescent="0.25">
      <c r="B14" t="s">
        <v>509</v>
      </c>
      <c r="D14" s="276">
        <v>44580</v>
      </c>
    </row>
    <row r="15" spans="2:7" x14ac:dyDescent="0.25">
      <c r="B15" t="s">
        <v>511</v>
      </c>
      <c r="D15">
        <v>19</v>
      </c>
    </row>
    <row r="17" spans="2:2" x14ac:dyDescent="0.25">
      <c r="B17" s="75" t="s">
        <v>510</v>
      </c>
    </row>
    <row r="18" spans="2:2" x14ac:dyDescent="0.25">
      <c r="B18" t="s">
        <v>512</v>
      </c>
    </row>
    <row r="19" spans="2:2" x14ac:dyDescent="0.25">
      <c r="B19" t="s">
        <v>513</v>
      </c>
    </row>
    <row r="20" spans="2:2" x14ac:dyDescent="0.25">
      <c r="B20" t="s">
        <v>514</v>
      </c>
    </row>
    <row r="21" spans="2:2" x14ac:dyDescent="0.25">
      <c r="B21" t="s">
        <v>515</v>
      </c>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E98"/>
  <sheetViews>
    <sheetView zoomScaleNormal="100" workbookViewId="0">
      <selection activeCell="E3" sqref="E3"/>
    </sheetView>
  </sheetViews>
  <sheetFormatPr defaultColWidth="9.140625" defaultRowHeight="12.75" x14ac:dyDescent="0.2"/>
  <cols>
    <col min="1" max="1" width="28.5703125" style="1" customWidth="1"/>
    <col min="2" max="2" width="50.28515625" style="1" customWidth="1"/>
    <col min="3" max="3" width="32.28515625" style="1" customWidth="1"/>
    <col min="4" max="4" width="19.140625" style="1" customWidth="1"/>
    <col min="5" max="5" width="25.28515625" style="1" customWidth="1"/>
    <col min="6" max="16384" width="9.140625" style="1"/>
  </cols>
  <sheetData>
    <row r="1" spans="1:5" ht="23.25" x14ac:dyDescent="0.35">
      <c r="A1" s="185" t="s">
        <v>360</v>
      </c>
      <c r="B1" s="52"/>
    </row>
    <row r="2" spans="1:5" ht="18" x14ac:dyDescent="0.25">
      <c r="A2" s="43" t="s">
        <v>0</v>
      </c>
      <c r="B2" s="43" t="s">
        <v>1</v>
      </c>
      <c r="C2" s="43" t="s">
        <v>2</v>
      </c>
      <c r="D2" s="43" t="s">
        <v>3</v>
      </c>
      <c r="E2" s="43" t="s">
        <v>4</v>
      </c>
    </row>
    <row r="3" spans="1:5" ht="15" x14ac:dyDescent="0.25">
      <c r="A3" s="50" t="s">
        <v>5</v>
      </c>
      <c r="B3" s="51" t="s">
        <v>6</v>
      </c>
      <c r="C3" s="1" t="s">
        <v>7</v>
      </c>
      <c r="D3" s="1" t="s">
        <v>8</v>
      </c>
      <c r="E3" t="s">
        <v>9</v>
      </c>
    </row>
    <row r="4" spans="1:5" ht="15" x14ac:dyDescent="0.25">
      <c r="A4" s="50" t="s">
        <v>10</v>
      </c>
      <c r="B4" s="51" t="s">
        <v>11</v>
      </c>
      <c r="C4" s="1" t="s">
        <v>7</v>
      </c>
      <c r="D4" s="1" t="s">
        <v>8</v>
      </c>
      <c r="E4" t="s">
        <v>9</v>
      </c>
    </row>
    <row r="5" spans="1:5" ht="15" x14ac:dyDescent="0.25">
      <c r="A5" s="50" t="s">
        <v>12</v>
      </c>
      <c r="B5" s="48" t="s">
        <v>13</v>
      </c>
      <c r="C5" s="1" t="s">
        <v>7</v>
      </c>
      <c r="D5" s="1" t="s">
        <v>8</v>
      </c>
      <c r="E5" t="s">
        <v>9</v>
      </c>
    </row>
    <row r="6" spans="1:5" ht="13.5" customHeight="1" x14ac:dyDescent="0.25">
      <c r="A6" s="50" t="s">
        <v>14</v>
      </c>
      <c r="B6" s="47" t="s">
        <v>15</v>
      </c>
      <c r="C6" s="1" t="s">
        <v>7</v>
      </c>
      <c r="D6" s="1" t="s">
        <v>8</v>
      </c>
      <c r="E6" t="s">
        <v>9</v>
      </c>
    </row>
    <row r="7" spans="1:5" ht="15" x14ac:dyDescent="0.25">
      <c r="A7" s="50" t="s">
        <v>16</v>
      </c>
      <c r="B7" s="46" t="s">
        <v>17</v>
      </c>
      <c r="C7" s="1" t="s">
        <v>7</v>
      </c>
      <c r="D7" s="1" t="s">
        <v>8</v>
      </c>
      <c r="E7" t="s">
        <v>9</v>
      </c>
    </row>
    <row r="8" spans="1:5" ht="15" x14ac:dyDescent="0.25">
      <c r="A8" s="50" t="s">
        <v>18</v>
      </c>
      <c r="B8" s="47" t="s">
        <v>19</v>
      </c>
      <c r="C8" s="1" t="s">
        <v>7</v>
      </c>
      <c r="D8" s="1" t="s">
        <v>8</v>
      </c>
      <c r="E8" t="s">
        <v>20</v>
      </c>
    </row>
    <row r="9" spans="1:5" ht="15" x14ac:dyDescent="0.25">
      <c r="A9" s="50" t="s">
        <v>21</v>
      </c>
      <c r="B9" s="49" t="s">
        <v>22</v>
      </c>
      <c r="C9" s="1" t="s">
        <v>7</v>
      </c>
      <c r="D9" s="1" t="s">
        <v>8</v>
      </c>
      <c r="E9" t="s">
        <v>20</v>
      </c>
    </row>
    <row r="10" spans="1:5" ht="15" x14ac:dyDescent="0.25">
      <c r="A10" s="50" t="s">
        <v>23</v>
      </c>
      <c r="B10" s="47" t="s">
        <v>24</v>
      </c>
      <c r="C10" s="1" t="s">
        <v>7</v>
      </c>
      <c r="D10" s="1" t="s">
        <v>8</v>
      </c>
      <c r="E10" t="s">
        <v>9</v>
      </c>
    </row>
    <row r="11" spans="1:5" ht="15" x14ac:dyDescent="0.25">
      <c r="A11" s="50" t="s">
        <v>25</v>
      </c>
      <c r="B11" s="46" t="s">
        <v>26</v>
      </c>
      <c r="C11" s="1" t="s">
        <v>7</v>
      </c>
      <c r="D11" s="1" t="s">
        <v>8</v>
      </c>
      <c r="E11" t="s">
        <v>20</v>
      </c>
    </row>
    <row r="12" spans="1:5" ht="15" x14ac:dyDescent="0.25">
      <c r="A12" s="50" t="s">
        <v>27</v>
      </c>
      <c r="B12" s="45" t="s">
        <v>28</v>
      </c>
      <c r="C12" s="1" t="s">
        <v>7</v>
      </c>
      <c r="D12" s="1" t="s">
        <v>8</v>
      </c>
      <c r="E12" t="s">
        <v>9</v>
      </c>
    </row>
    <row r="13" spans="1:5" ht="15" x14ac:dyDescent="0.25">
      <c r="A13" s="50" t="s">
        <v>29</v>
      </c>
      <c r="B13" s="45" t="s">
        <v>30</v>
      </c>
      <c r="C13" s="1" t="s">
        <v>7</v>
      </c>
      <c r="D13" s="1" t="s">
        <v>8</v>
      </c>
      <c r="E13" t="s">
        <v>20</v>
      </c>
    </row>
    <row r="14" spans="1:5" ht="15" x14ac:dyDescent="0.25">
      <c r="A14" s="50" t="s">
        <v>31</v>
      </c>
      <c r="B14" s="45" t="s">
        <v>32</v>
      </c>
      <c r="C14" s="1" t="s">
        <v>7</v>
      </c>
      <c r="D14" s="1" t="s">
        <v>8</v>
      </c>
      <c r="E14" t="s">
        <v>9</v>
      </c>
    </row>
    <row r="15" spans="1:5" ht="15" x14ac:dyDescent="0.25">
      <c r="A15" s="50" t="s">
        <v>33</v>
      </c>
      <c r="B15" s="44" t="s">
        <v>34</v>
      </c>
      <c r="C15" s="1" t="s">
        <v>7</v>
      </c>
      <c r="D15" s="1" t="s">
        <v>35</v>
      </c>
      <c r="E15" t="s">
        <v>20</v>
      </c>
    </row>
    <row r="16" spans="1:5" ht="15" x14ac:dyDescent="0.25">
      <c r="A16" s="50" t="s">
        <v>36</v>
      </c>
      <c r="B16" s="44" t="s">
        <v>37</v>
      </c>
      <c r="C16" s="1" t="s">
        <v>7</v>
      </c>
      <c r="D16" s="1" t="s">
        <v>35</v>
      </c>
      <c r="E16" t="s">
        <v>20</v>
      </c>
    </row>
    <row r="17" spans="1:5" ht="15" x14ac:dyDescent="0.25">
      <c r="A17" s="40" t="s">
        <v>38</v>
      </c>
      <c r="B17" s="41" t="s">
        <v>39</v>
      </c>
      <c r="C17" s="1" t="s">
        <v>40</v>
      </c>
      <c r="D17" s="1" t="s">
        <v>8</v>
      </c>
      <c r="E17" t="s">
        <v>20</v>
      </c>
    </row>
    <row r="18" spans="1:5" ht="15" x14ac:dyDescent="0.25">
      <c r="A18" s="40" t="s">
        <v>41</v>
      </c>
      <c r="B18" s="41" t="s">
        <v>42</v>
      </c>
      <c r="C18" s="1" t="s">
        <v>40</v>
      </c>
      <c r="D18" s="1" t="s">
        <v>8</v>
      </c>
      <c r="E18" t="s">
        <v>20</v>
      </c>
    </row>
    <row r="19" spans="1:5" ht="15" x14ac:dyDescent="0.25">
      <c r="A19" s="40" t="s">
        <v>43</v>
      </c>
      <c r="B19" s="41" t="s">
        <v>44</v>
      </c>
      <c r="C19" s="1" t="s">
        <v>40</v>
      </c>
      <c r="D19" s="1" t="s">
        <v>8</v>
      </c>
      <c r="E19" t="s">
        <v>20</v>
      </c>
    </row>
    <row r="20" spans="1:5" ht="15" x14ac:dyDescent="0.25">
      <c r="A20" s="40" t="s">
        <v>45</v>
      </c>
      <c r="B20" s="41" t="s">
        <v>46</v>
      </c>
      <c r="C20" s="1" t="s">
        <v>40</v>
      </c>
      <c r="D20" s="1" t="s">
        <v>8</v>
      </c>
      <c r="E20" t="s">
        <v>20</v>
      </c>
    </row>
    <row r="21" spans="1:5" ht="15" x14ac:dyDescent="0.25">
      <c r="A21" s="42" t="s">
        <v>47</v>
      </c>
      <c r="B21" s="41" t="s">
        <v>48</v>
      </c>
      <c r="C21" s="1" t="s">
        <v>40</v>
      </c>
      <c r="D21" s="1" t="s">
        <v>8</v>
      </c>
      <c r="E21" t="s">
        <v>9</v>
      </c>
    </row>
    <row r="22" spans="1:5" ht="15" x14ac:dyDescent="0.25">
      <c r="A22" s="40" t="s">
        <v>49</v>
      </c>
      <c r="B22" s="41" t="s">
        <v>50</v>
      </c>
      <c r="C22" s="1" t="s">
        <v>40</v>
      </c>
      <c r="D22" s="1" t="s">
        <v>8</v>
      </c>
      <c r="E22" t="s">
        <v>20</v>
      </c>
    </row>
    <row r="23" spans="1:5" ht="15" x14ac:dyDescent="0.25">
      <c r="A23" s="40" t="s">
        <v>51</v>
      </c>
      <c r="B23" s="41" t="s">
        <v>52</v>
      </c>
      <c r="C23" s="1" t="s">
        <v>40</v>
      </c>
      <c r="D23" s="1" t="s">
        <v>8</v>
      </c>
      <c r="E23" t="s">
        <v>20</v>
      </c>
    </row>
    <row r="24" spans="1:5" ht="15" x14ac:dyDescent="0.25">
      <c r="A24" s="40" t="s">
        <v>53</v>
      </c>
      <c r="B24" s="41" t="s">
        <v>54</v>
      </c>
      <c r="C24" s="1" t="s">
        <v>40</v>
      </c>
      <c r="D24" s="1" t="s">
        <v>8</v>
      </c>
      <c r="E24" t="s">
        <v>20</v>
      </c>
    </row>
    <row r="25" spans="1:5" ht="15" x14ac:dyDescent="0.25">
      <c r="A25" s="40" t="s">
        <v>55</v>
      </c>
      <c r="B25" s="41" t="s">
        <v>56</v>
      </c>
      <c r="C25" s="1" t="s">
        <v>40</v>
      </c>
      <c r="D25" s="1" t="s">
        <v>8</v>
      </c>
      <c r="E25" t="s">
        <v>20</v>
      </c>
    </row>
    <row r="26" spans="1:5" ht="15" x14ac:dyDescent="0.25">
      <c r="A26" s="40" t="s">
        <v>57</v>
      </c>
      <c r="B26" s="41" t="s">
        <v>58</v>
      </c>
      <c r="C26" s="1" t="s">
        <v>40</v>
      </c>
      <c r="D26" s="1" t="s">
        <v>35</v>
      </c>
      <c r="E26" t="s">
        <v>9</v>
      </c>
    </row>
    <row r="27" spans="1:5" ht="15" x14ac:dyDescent="0.25">
      <c r="A27" s="40" t="s">
        <v>59</v>
      </c>
      <c r="B27" s="40" t="s">
        <v>60</v>
      </c>
      <c r="C27" s="1" t="s">
        <v>40</v>
      </c>
      <c r="D27" s="1" t="s">
        <v>35</v>
      </c>
      <c r="E27" t="s">
        <v>20</v>
      </c>
    </row>
    <row r="28" spans="1:5" ht="15" x14ac:dyDescent="0.25">
      <c r="A28" s="40" t="s">
        <v>61</v>
      </c>
      <c r="B28" s="40" t="s">
        <v>62</v>
      </c>
      <c r="C28" s="1" t="s">
        <v>40</v>
      </c>
      <c r="D28" s="1" t="s">
        <v>35</v>
      </c>
      <c r="E28" t="s">
        <v>20</v>
      </c>
    </row>
    <row r="29" spans="1:5" ht="15" x14ac:dyDescent="0.25">
      <c r="A29" s="33" t="s">
        <v>63</v>
      </c>
      <c r="B29" s="35" t="s">
        <v>64</v>
      </c>
      <c r="C29" s="1" t="s">
        <v>65</v>
      </c>
      <c r="E29" t="s">
        <v>20</v>
      </c>
    </row>
    <row r="30" spans="1:5" ht="15" x14ac:dyDescent="0.25">
      <c r="A30" s="33" t="s">
        <v>66</v>
      </c>
      <c r="B30" s="35" t="s">
        <v>67</v>
      </c>
      <c r="C30" s="1" t="s">
        <v>65</v>
      </c>
      <c r="E30" t="s">
        <v>20</v>
      </c>
    </row>
    <row r="31" spans="1:5" ht="15" x14ac:dyDescent="0.25">
      <c r="A31" s="33" t="s">
        <v>68</v>
      </c>
      <c r="B31" s="35" t="s">
        <v>69</v>
      </c>
      <c r="C31" s="1" t="s">
        <v>65</v>
      </c>
      <c r="E31" t="s">
        <v>20</v>
      </c>
    </row>
    <row r="32" spans="1:5" ht="15" x14ac:dyDescent="0.25">
      <c r="A32" s="33" t="s">
        <v>70</v>
      </c>
      <c r="B32" s="35" t="s">
        <v>71</v>
      </c>
      <c r="C32" s="1" t="s">
        <v>65</v>
      </c>
      <c r="E32" t="s">
        <v>20</v>
      </c>
    </row>
    <row r="33" spans="1:5" ht="15.75" customHeight="1" x14ac:dyDescent="0.25">
      <c r="A33" s="39" t="s">
        <v>72</v>
      </c>
      <c r="B33" s="38" t="s">
        <v>73</v>
      </c>
      <c r="C33" s="1" t="s">
        <v>65</v>
      </c>
      <c r="E33" t="s">
        <v>20</v>
      </c>
    </row>
    <row r="34" spans="1:5" ht="15" x14ac:dyDescent="0.25">
      <c r="A34" s="37" t="s">
        <v>74</v>
      </c>
      <c r="B34" s="36" t="s">
        <v>75</v>
      </c>
      <c r="C34" s="1" t="s">
        <v>65</v>
      </c>
      <c r="E34" t="s">
        <v>20</v>
      </c>
    </row>
    <row r="35" spans="1:5" ht="15" x14ac:dyDescent="0.25">
      <c r="A35" s="33" t="s">
        <v>76</v>
      </c>
      <c r="B35" s="35" t="s">
        <v>77</v>
      </c>
      <c r="C35" s="1" t="s">
        <v>65</v>
      </c>
      <c r="E35" t="s">
        <v>20</v>
      </c>
    </row>
    <row r="36" spans="1:5" ht="15" x14ac:dyDescent="0.25">
      <c r="A36" s="33" t="s">
        <v>78</v>
      </c>
      <c r="B36" s="35" t="s">
        <v>79</v>
      </c>
      <c r="C36" s="1" t="s">
        <v>65</v>
      </c>
      <c r="E36" t="s">
        <v>20</v>
      </c>
    </row>
    <row r="37" spans="1:5" ht="15" x14ac:dyDescent="0.25">
      <c r="A37" s="33" t="s">
        <v>78</v>
      </c>
      <c r="B37" s="35" t="s">
        <v>80</v>
      </c>
      <c r="C37" s="1" t="s">
        <v>65</v>
      </c>
      <c r="E37" t="s">
        <v>20</v>
      </c>
    </row>
    <row r="38" spans="1:5" ht="15" x14ac:dyDescent="0.25">
      <c r="A38" s="33" t="s">
        <v>81</v>
      </c>
      <c r="B38" s="34" t="s">
        <v>82</v>
      </c>
      <c r="C38" s="1" t="s">
        <v>65</v>
      </c>
      <c r="E38" t="s">
        <v>20</v>
      </c>
    </row>
    <row r="39" spans="1:5" ht="15" x14ac:dyDescent="0.25">
      <c r="A39" s="32" t="s">
        <v>83</v>
      </c>
      <c r="B39" s="32" t="s">
        <v>84</v>
      </c>
      <c r="C39" s="1" t="s">
        <v>85</v>
      </c>
      <c r="E39" t="s">
        <v>20</v>
      </c>
    </row>
    <row r="40" spans="1:5" ht="15" x14ac:dyDescent="0.25">
      <c r="A40" s="31"/>
      <c r="B40" s="32" t="s">
        <v>86</v>
      </c>
      <c r="C40" s="1" t="s">
        <v>85</v>
      </c>
      <c r="E40" t="s">
        <v>20</v>
      </c>
    </row>
    <row r="41" spans="1:5" ht="15" x14ac:dyDescent="0.25">
      <c r="A41" s="31" t="s">
        <v>87</v>
      </c>
      <c r="B41" s="31" t="s">
        <v>88</v>
      </c>
      <c r="C41" s="1" t="s">
        <v>85</v>
      </c>
      <c r="E41" t="s">
        <v>20</v>
      </c>
    </row>
    <row r="42" spans="1:5" ht="15" x14ac:dyDescent="0.25">
      <c r="A42" s="31"/>
      <c r="B42" s="31" t="s">
        <v>89</v>
      </c>
      <c r="C42" s="1" t="s">
        <v>85</v>
      </c>
      <c r="E42" t="s">
        <v>20</v>
      </c>
    </row>
    <row r="43" spans="1:5" ht="15" x14ac:dyDescent="0.25">
      <c r="A43" s="53" t="s">
        <v>90</v>
      </c>
      <c r="B43" s="54" t="s">
        <v>91</v>
      </c>
      <c r="C43" s="1" t="s">
        <v>92</v>
      </c>
      <c r="D43" s="1" t="s">
        <v>8</v>
      </c>
      <c r="E43" t="s">
        <v>20</v>
      </c>
    </row>
    <row r="44" spans="1:5" ht="15" x14ac:dyDescent="0.25">
      <c r="A44" s="53"/>
      <c r="B44" s="54" t="s">
        <v>93</v>
      </c>
      <c r="C44" s="1" t="s">
        <v>92</v>
      </c>
      <c r="D44" s="1" t="s">
        <v>8</v>
      </c>
      <c r="E44" t="s">
        <v>20</v>
      </c>
    </row>
    <row r="45" spans="1:5" ht="15" x14ac:dyDescent="0.25">
      <c r="A45" s="53"/>
      <c r="B45" s="55" t="s">
        <v>94</v>
      </c>
      <c r="C45" s="1" t="s">
        <v>92</v>
      </c>
      <c r="D45" s="1" t="s">
        <v>8</v>
      </c>
      <c r="E45" t="s">
        <v>20</v>
      </c>
    </row>
    <row r="46" spans="1:5" ht="25.5" x14ac:dyDescent="0.25">
      <c r="A46" s="53" t="s">
        <v>95</v>
      </c>
      <c r="B46" s="55" t="s">
        <v>96</v>
      </c>
      <c r="C46" s="1" t="s">
        <v>92</v>
      </c>
      <c r="D46" s="1" t="s">
        <v>8</v>
      </c>
      <c r="E46" t="s">
        <v>20</v>
      </c>
    </row>
    <row r="47" spans="1:5" ht="25.5" x14ac:dyDescent="0.25">
      <c r="A47" s="53"/>
      <c r="B47" s="55" t="s">
        <v>97</v>
      </c>
      <c r="C47" s="1" t="s">
        <v>92</v>
      </c>
      <c r="D47" s="1" t="s">
        <v>8</v>
      </c>
      <c r="E47" t="s">
        <v>20</v>
      </c>
    </row>
    <row r="48" spans="1:5" ht="15" x14ac:dyDescent="0.25">
      <c r="A48" s="53" t="s">
        <v>98</v>
      </c>
      <c r="B48" s="54" t="s">
        <v>99</v>
      </c>
      <c r="C48" s="1" t="s">
        <v>92</v>
      </c>
      <c r="D48" s="1" t="s">
        <v>8</v>
      </c>
      <c r="E48" t="s">
        <v>20</v>
      </c>
    </row>
    <row r="49" spans="1:5" ht="25.5" x14ac:dyDescent="0.25">
      <c r="A49" s="53"/>
      <c r="B49" s="56" t="s">
        <v>100</v>
      </c>
      <c r="C49" s="1" t="s">
        <v>92</v>
      </c>
      <c r="D49" s="1" t="s">
        <v>8</v>
      </c>
      <c r="E49" t="s">
        <v>20</v>
      </c>
    </row>
    <row r="50" spans="1:5" ht="15" x14ac:dyDescent="0.25">
      <c r="A50" s="57" t="s">
        <v>101</v>
      </c>
      <c r="B50" s="54" t="s">
        <v>102</v>
      </c>
      <c r="C50" s="1" t="s">
        <v>92</v>
      </c>
      <c r="D50" s="1" t="s">
        <v>8</v>
      </c>
      <c r="E50" t="s">
        <v>20</v>
      </c>
    </row>
    <row r="51" spans="1:5" ht="15" x14ac:dyDescent="0.25">
      <c r="A51" s="57"/>
      <c r="B51" s="54" t="s">
        <v>103</v>
      </c>
      <c r="C51" s="1" t="s">
        <v>92</v>
      </c>
      <c r="D51" s="1" t="s">
        <v>8</v>
      </c>
      <c r="E51" t="s">
        <v>20</v>
      </c>
    </row>
    <row r="52" spans="1:5" ht="15" x14ac:dyDescent="0.25">
      <c r="A52" s="57" t="s">
        <v>104</v>
      </c>
      <c r="B52" s="54" t="s">
        <v>105</v>
      </c>
      <c r="C52" s="1" t="s">
        <v>92</v>
      </c>
      <c r="D52" s="1" t="s">
        <v>8</v>
      </c>
      <c r="E52" t="s">
        <v>20</v>
      </c>
    </row>
    <row r="53" spans="1:5" ht="15" x14ac:dyDescent="0.25">
      <c r="A53" s="53"/>
      <c r="B53" s="54" t="s">
        <v>106</v>
      </c>
      <c r="C53" s="1" t="s">
        <v>92</v>
      </c>
      <c r="D53" s="1" t="s">
        <v>8</v>
      </c>
      <c r="E53" t="s">
        <v>20</v>
      </c>
    </row>
    <row r="54" spans="1:5" ht="15" x14ac:dyDescent="0.25">
      <c r="A54" s="58" t="s">
        <v>107</v>
      </c>
      <c r="B54" s="59" t="s">
        <v>108</v>
      </c>
      <c r="C54" s="1" t="s">
        <v>92</v>
      </c>
      <c r="D54" s="1" t="s">
        <v>8</v>
      </c>
      <c r="E54" t="s">
        <v>20</v>
      </c>
    </row>
    <row r="55" spans="1:5" ht="15" x14ac:dyDescent="0.25">
      <c r="A55" s="58"/>
      <c r="B55" s="56" t="s">
        <v>109</v>
      </c>
      <c r="C55" s="1" t="s">
        <v>92</v>
      </c>
      <c r="D55" s="1" t="s">
        <v>8</v>
      </c>
      <c r="E55" t="s">
        <v>20</v>
      </c>
    </row>
    <row r="56" spans="1:5" ht="15" x14ac:dyDescent="0.25">
      <c r="A56" s="60" t="s">
        <v>110</v>
      </c>
      <c r="B56" s="61" t="s">
        <v>111</v>
      </c>
      <c r="C56" s="1" t="s">
        <v>92</v>
      </c>
      <c r="D56" s="1" t="s">
        <v>8</v>
      </c>
      <c r="E56" t="s">
        <v>20</v>
      </c>
    </row>
    <row r="57" spans="1:5" ht="15" x14ac:dyDescent="0.25">
      <c r="A57" s="60" t="s">
        <v>112</v>
      </c>
      <c r="B57" s="59" t="s">
        <v>113</v>
      </c>
      <c r="C57" s="1" t="s">
        <v>92</v>
      </c>
      <c r="D57" s="1" t="s">
        <v>8</v>
      </c>
      <c r="E57" t="s">
        <v>20</v>
      </c>
    </row>
    <row r="58" spans="1:5" ht="15" x14ac:dyDescent="0.25">
      <c r="A58" s="57" t="s">
        <v>114</v>
      </c>
      <c r="B58" s="62" t="s">
        <v>115</v>
      </c>
      <c r="D58" s="1" t="s">
        <v>35</v>
      </c>
      <c r="E58" t="s">
        <v>20</v>
      </c>
    </row>
    <row r="59" spans="1:5" ht="15" x14ac:dyDescent="0.25">
      <c r="A59" s="26" t="s">
        <v>116</v>
      </c>
      <c r="B59" s="25" t="s">
        <v>117</v>
      </c>
      <c r="C59" s="1" t="s">
        <v>118</v>
      </c>
      <c r="E59" t="s">
        <v>20</v>
      </c>
    </row>
    <row r="60" spans="1:5" ht="15" x14ac:dyDescent="0.25">
      <c r="B60" s="30" t="s">
        <v>119</v>
      </c>
      <c r="C60" s="1" t="s">
        <v>118</v>
      </c>
      <c r="E60" t="s">
        <v>20</v>
      </c>
    </row>
    <row r="61" spans="1:5" ht="15" x14ac:dyDescent="0.25">
      <c r="A61" s="26" t="s">
        <v>120</v>
      </c>
      <c r="B61" s="29" t="s">
        <v>121</v>
      </c>
      <c r="C61" s="1" t="s">
        <v>118</v>
      </c>
      <c r="E61" t="s">
        <v>20</v>
      </c>
    </row>
    <row r="62" spans="1:5" ht="15" x14ac:dyDescent="0.25">
      <c r="A62" s="26"/>
      <c r="B62" s="28" t="s">
        <v>122</v>
      </c>
      <c r="C62" s="1" t="s">
        <v>118</v>
      </c>
      <c r="E62" t="s">
        <v>20</v>
      </c>
    </row>
    <row r="63" spans="1:5" ht="15" x14ac:dyDescent="0.25">
      <c r="A63" s="26" t="s">
        <v>123</v>
      </c>
      <c r="B63" s="27" t="s">
        <v>124</v>
      </c>
      <c r="C63" s="1" t="s">
        <v>118</v>
      </c>
      <c r="E63" t="s">
        <v>20</v>
      </c>
    </row>
    <row r="64" spans="1:5" ht="15" x14ac:dyDescent="0.25">
      <c r="A64" s="26"/>
      <c r="B64" s="25" t="s">
        <v>125</v>
      </c>
      <c r="C64" s="1" t="s">
        <v>118</v>
      </c>
      <c r="E64" t="s">
        <v>20</v>
      </c>
    </row>
    <row r="65" spans="1:5" ht="15" x14ac:dyDescent="0.25">
      <c r="A65" s="24" t="s">
        <v>126</v>
      </c>
      <c r="B65" s="25" t="s">
        <v>127</v>
      </c>
      <c r="C65" s="1" t="s">
        <v>118</v>
      </c>
      <c r="E65" t="s">
        <v>20</v>
      </c>
    </row>
    <row r="66" spans="1:5" ht="15" x14ac:dyDescent="0.25">
      <c r="A66" s="24" t="s">
        <v>128</v>
      </c>
      <c r="B66" s="25" t="s">
        <v>129</v>
      </c>
      <c r="C66" s="1" t="s">
        <v>118</v>
      </c>
      <c r="E66" t="s">
        <v>20</v>
      </c>
    </row>
    <row r="67" spans="1:5" ht="15" x14ac:dyDescent="0.25">
      <c r="A67" s="24" t="s">
        <v>130</v>
      </c>
      <c r="B67" s="25" t="s">
        <v>131</v>
      </c>
      <c r="C67" s="1" t="s">
        <v>118</v>
      </c>
      <c r="E67" t="s">
        <v>20</v>
      </c>
    </row>
    <row r="68" spans="1:5" ht="15" x14ac:dyDescent="0.25">
      <c r="A68" s="24" t="s">
        <v>132</v>
      </c>
      <c r="B68" s="25" t="s">
        <v>133</v>
      </c>
      <c r="C68" s="1" t="s">
        <v>118</v>
      </c>
      <c r="E68" t="s">
        <v>20</v>
      </c>
    </row>
    <row r="69" spans="1:5" ht="15" x14ac:dyDescent="0.25">
      <c r="A69" s="21" t="s">
        <v>134</v>
      </c>
      <c r="B69" s="20" t="s">
        <v>135</v>
      </c>
      <c r="C69" s="1" t="s">
        <v>136</v>
      </c>
      <c r="E69" t="s">
        <v>20</v>
      </c>
    </row>
    <row r="70" spans="1:5" ht="15" x14ac:dyDescent="0.25">
      <c r="A70" s="19" t="s">
        <v>137</v>
      </c>
      <c r="B70" s="23" t="s">
        <v>138</v>
      </c>
      <c r="C70" s="1" t="s">
        <v>136</v>
      </c>
      <c r="E70" t="s">
        <v>20</v>
      </c>
    </row>
    <row r="71" spans="1:5" ht="15" x14ac:dyDescent="0.25">
      <c r="A71" s="21" t="s">
        <v>139</v>
      </c>
      <c r="B71" s="20" t="s">
        <v>140</v>
      </c>
      <c r="C71" s="1" t="s">
        <v>136</v>
      </c>
      <c r="E71" t="s">
        <v>20</v>
      </c>
    </row>
    <row r="72" spans="1:5" ht="15" x14ac:dyDescent="0.25">
      <c r="A72" s="19" t="s">
        <v>141</v>
      </c>
      <c r="B72" s="22" t="s">
        <v>142</v>
      </c>
      <c r="C72" s="1" t="s">
        <v>136</v>
      </c>
      <c r="E72" t="s">
        <v>20</v>
      </c>
    </row>
    <row r="73" spans="1:5" ht="15" x14ac:dyDescent="0.25">
      <c r="A73" s="21" t="s">
        <v>143</v>
      </c>
      <c r="B73" s="20" t="s">
        <v>144</v>
      </c>
      <c r="C73" s="1" t="s">
        <v>136</v>
      </c>
      <c r="E73" t="s">
        <v>20</v>
      </c>
    </row>
    <row r="74" spans="1:5" ht="15" x14ac:dyDescent="0.25">
      <c r="A74" s="19" t="s">
        <v>145</v>
      </c>
      <c r="B74" s="18" t="s">
        <v>146</v>
      </c>
      <c r="C74" s="1" t="s">
        <v>136</v>
      </c>
      <c r="E74" t="s">
        <v>20</v>
      </c>
    </row>
    <row r="75" spans="1:5" ht="15" x14ac:dyDescent="0.25">
      <c r="A75" s="19" t="s">
        <v>147</v>
      </c>
      <c r="B75" s="18" t="s">
        <v>148</v>
      </c>
      <c r="C75" s="1" t="s">
        <v>136</v>
      </c>
      <c r="E75" t="s">
        <v>20</v>
      </c>
    </row>
    <row r="76" spans="1:5" ht="15" x14ac:dyDescent="0.25">
      <c r="A76" s="19" t="s">
        <v>149</v>
      </c>
      <c r="B76" s="18" t="s">
        <v>150</v>
      </c>
      <c r="C76" s="1" t="s">
        <v>136</v>
      </c>
      <c r="E76" t="s">
        <v>20</v>
      </c>
    </row>
    <row r="77" spans="1:5" ht="15" x14ac:dyDescent="0.25">
      <c r="A77" s="14" t="s">
        <v>151</v>
      </c>
      <c r="B77" s="15" t="s">
        <v>152</v>
      </c>
      <c r="C77" s="1" t="s">
        <v>153</v>
      </c>
      <c r="E77" t="s">
        <v>20</v>
      </c>
    </row>
    <row r="78" spans="1:5" ht="15" x14ac:dyDescent="0.25">
      <c r="A78" s="16" t="s">
        <v>154</v>
      </c>
      <c r="B78" s="17" t="s">
        <v>155</v>
      </c>
      <c r="C78" s="1" t="s">
        <v>153</v>
      </c>
      <c r="E78" t="s">
        <v>20</v>
      </c>
    </row>
    <row r="79" spans="1:5" ht="15" x14ac:dyDescent="0.25">
      <c r="A79" s="16"/>
      <c r="B79" s="17" t="s">
        <v>156</v>
      </c>
      <c r="C79" s="1" t="s">
        <v>153</v>
      </c>
      <c r="E79" t="s">
        <v>20</v>
      </c>
    </row>
    <row r="80" spans="1:5" ht="15" x14ac:dyDescent="0.25">
      <c r="A80" s="16" t="s">
        <v>157</v>
      </c>
      <c r="B80" s="15" t="s">
        <v>158</v>
      </c>
      <c r="C80" s="1" t="s">
        <v>153</v>
      </c>
      <c r="E80" t="s">
        <v>20</v>
      </c>
    </row>
    <row r="81" spans="1:5" ht="15" x14ac:dyDescent="0.25">
      <c r="A81" s="16"/>
      <c r="B81" s="15" t="s">
        <v>159</v>
      </c>
      <c r="C81" s="1" t="s">
        <v>153</v>
      </c>
      <c r="E81" t="s">
        <v>20</v>
      </c>
    </row>
    <row r="82" spans="1:5" ht="15" x14ac:dyDescent="0.25">
      <c r="A82" s="16" t="s">
        <v>160</v>
      </c>
      <c r="B82" s="15" t="s">
        <v>161</v>
      </c>
      <c r="C82" s="1" t="s">
        <v>153</v>
      </c>
      <c r="E82" t="s">
        <v>20</v>
      </c>
    </row>
    <row r="83" spans="1:5" ht="15" x14ac:dyDescent="0.25">
      <c r="A83" s="16"/>
      <c r="B83" s="15" t="s">
        <v>162</v>
      </c>
      <c r="C83" s="1" t="s">
        <v>153</v>
      </c>
      <c r="E83" t="s">
        <v>20</v>
      </c>
    </row>
    <row r="84" spans="1:5" ht="15" x14ac:dyDescent="0.25">
      <c r="A84" s="12" t="s">
        <v>163</v>
      </c>
      <c r="B84" s="13" t="s">
        <v>164</v>
      </c>
      <c r="C84" s="1" t="s">
        <v>153</v>
      </c>
      <c r="D84" s="1" t="s">
        <v>35</v>
      </c>
      <c r="E84" t="s">
        <v>20</v>
      </c>
    </row>
    <row r="85" spans="1:5" ht="15" x14ac:dyDescent="0.25">
      <c r="A85" s="11" t="s">
        <v>165</v>
      </c>
      <c r="B85" s="10" t="s">
        <v>166</v>
      </c>
      <c r="C85" s="1" t="s">
        <v>167</v>
      </c>
      <c r="E85" t="s">
        <v>20</v>
      </c>
    </row>
    <row r="86" spans="1:5" ht="15" x14ac:dyDescent="0.25">
      <c r="A86" s="11"/>
      <c r="B86" s="10" t="s">
        <v>168</v>
      </c>
      <c r="C86" s="1" t="s">
        <v>167</v>
      </c>
      <c r="E86" t="s">
        <v>20</v>
      </c>
    </row>
    <row r="87" spans="1:5" ht="15" x14ac:dyDescent="0.25">
      <c r="A87" s="8" t="s">
        <v>169</v>
      </c>
      <c r="B87" s="7" t="s">
        <v>170</v>
      </c>
      <c r="C87" s="1" t="s">
        <v>167</v>
      </c>
      <c r="E87" t="s">
        <v>20</v>
      </c>
    </row>
    <row r="88" spans="1:5" ht="15" x14ac:dyDescent="0.25">
      <c r="A88" s="8" t="s">
        <v>171</v>
      </c>
      <c r="B88" s="7" t="s">
        <v>172</v>
      </c>
      <c r="C88" s="1" t="s">
        <v>167</v>
      </c>
      <c r="E88" t="s">
        <v>20</v>
      </c>
    </row>
    <row r="89" spans="1:5" ht="15" x14ac:dyDescent="0.25">
      <c r="A89" s="8" t="s">
        <v>173</v>
      </c>
      <c r="B89" s="9" t="s">
        <v>174</v>
      </c>
      <c r="C89" s="1" t="s">
        <v>167</v>
      </c>
      <c r="E89" t="s">
        <v>20</v>
      </c>
    </row>
    <row r="90" spans="1:5" ht="15" x14ac:dyDescent="0.25">
      <c r="A90" s="8" t="s">
        <v>175</v>
      </c>
      <c r="B90" s="7" t="s">
        <v>176</v>
      </c>
      <c r="C90" s="1" t="s">
        <v>167</v>
      </c>
      <c r="E90" t="s">
        <v>20</v>
      </c>
    </row>
    <row r="91" spans="1:5" ht="15" x14ac:dyDescent="0.25">
      <c r="A91" s="8" t="s">
        <v>177</v>
      </c>
      <c r="B91" s="7" t="s">
        <v>178</v>
      </c>
      <c r="C91" s="1" t="s">
        <v>167</v>
      </c>
      <c r="E91" t="s">
        <v>20</v>
      </c>
    </row>
    <row r="92" spans="1:5" ht="15" x14ac:dyDescent="0.25">
      <c r="A92" s="6" t="s">
        <v>179</v>
      </c>
      <c r="B92" s="7" t="s">
        <v>180</v>
      </c>
      <c r="C92" s="1" t="s">
        <v>167</v>
      </c>
      <c r="E92" t="s">
        <v>20</v>
      </c>
    </row>
    <row r="93" spans="1:5" ht="15" x14ac:dyDescent="0.25">
      <c r="A93" s="6"/>
      <c r="B93" s="7" t="s">
        <v>181</v>
      </c>
      <c r="C93" s="1" t="s">
        <v>167</v>
      </c>
      <c r="E93" t="s">
        <v>20</v>
      </c>
    </row>
    <row r="94" spans="1:5" ht="15" x14ac:dyDescent="0.25">
      <c r="A94" s="5" t="s">
        <v>182</v>
      </c>
      <c r="B94" s="4" t="s">
        <v>183</v>
      </c>
      <c r="C94" s="1" t="s">
        <v>167</v>
      </c>
      <c r="D94" s="1" t="s">
        <v>35</v>
      </c>
      <c r="E94" t="s">
        <v>20</v>
      </c>
    </row>
    <row r="95" spans="1:5" ht="15" x14ac:dyDescent="0.25">
      <c r="A95" s="1" t="s">
        <v>184</v>
      </c>
      <c r="B95" s="3" t="s">
        <v>185</v>
      </c>
      <c r="C95" s="1" t="s">
        <v>167</v>
      </c>
      <c r="D95" s="1" t="s">
        <v>35</v>
      </c>
      <c r="E95" t="s">
        <v>20</v>
      </c>
    </row>
    <row r="96" spans="1:5" ht="15" x14ac:dyDescent="0.25">
      <c r="A96" s="1" t="s">
        <v>186</v>
      </c>
      <c r="B96" s="1" t="s">
        <v>187</v>
      </c>
      <c r="C96" s="1" t="s">
        <v>167</v>
      </c>
      <c r="D96" s="1" t="s">
        <v>35</v>
      </c>
      <c r="E96" t="s">
        <v>20</v>
      </c>
    </row>
    <row r="98" spans="1:1" x14ac:dyDescent="0.2">
      <c r="A98" s="2"/>
    </row>
  </sheetData>
  <autoFilter ref="A2:E96"/>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C2:N11"/>
  <sheetViews>
    <sheetView topLeftCell="E1" workbookViewId="0">
      <selection activeCell="E3" sqref="E3"/>
    </sheetView>
  </sheetViews>
  <sheetFormatPr defaultRowHeight="15" x14ac:dyDescent="0.25"/>
  <cols>
    <col min="3" max="3" width="10.140625" bestFit="1" customWidth="1"/>
    <col min="9" max="9" width="14.42578125" bestFit="1" customWidth="1"/>
    <col min="14" max="14" width="16.42578125" bestFit="1" customWidth="1"/>
  </cols>
  <sheetData>
    <row r="2" spans="3:14" x14ac:dyDescent="0.25">
      <c r="C2" t="s">
        <v>266</v>
      </c>
      <c r="E2" t="s">
        <v>268</v>
      </c>
      <c r="G2" t="s">
        <v>208</v>
      </c>
      <c r="I2" t="s">
        <v>273</v>
      </c>
      <c r="K2">
        <v>1</v>
      </c>
      <c r="N2" t="s">
        <v>292</v>
      </c>
    </row>
    <row r="3" spans="3:14" x14ac:dyDescent="0.25">
      <c r="C3" t="s">
        <v>267</v>
      </c>
      <c r="E3" t="s">
        <v>262</v>
      </c>
      <c r="G3" t="s">
        <v>247</v>
      </c>
      <c r="I3" t="s">
        <v>268</v>
      </c>
      <c r="K3">
        <v>2</v>
      </c>
      <c r="N3" t="s">
        <v>326</v>
      </c>
    </row>
    <row r="4" spans="3:14" x14ac:dyDescent="0.25">
      <c r="I4" t="s">
        <v>274</v>
      </c>
      <c r="K4">
        <v>3</v>
      </c>
      <c r="N4" t="s">
        <v>293</v>
      </c>
    </row>
    <row r="5" spans="3:14" x14ac:dyDescent="0.25">
      <c r="K5">
        <v>4</v>
      </c>
    </row>
    <row r="6" spans="3:14" x14ac:dyDescent="0.25">
      <c r="K6">
        <v>5</v>
      </c>
    </row>
    <row r="7" spans="3:14" x14ac:dyDescent="0.25">
      <c r="K7">
        <v>6</v>
      </c>
    </row>
    <row r="8" spans="3:14" x14ac:dyDescent="0.25">
      <c r="K8">
        <v>7</v>
      </c>
    </row>
    <row r="9" spans="3:14" x14ac:dyDescent="0.25">
      <c r="K9">
        <v>8</v>
      </c>
    </row>
    <row r="10" spans="3:14" x14ac:dyDescent="0.25">
      <c r="K10">
        <v>9</v>
      </c>
    </row>
    <row r="11" spans="3:14" x14ac:dyDescent="0.25">
      <c r="K11">
        <v>10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H11"/>
  <sheetViews>
    <sheetView showGridLines="0" zoomScale="115" zoomScaleNormal="115" workbookViewId="0">
      <selection activeCell="B1" sqref="B1"/>
    </sheetView>
  </sheetViews>
  <sheetFormatPr defaultRowHeight="15" x14ac:dyDescent="0.25"/>
  <cols>
    <col min="5" max="5" width="17.85546875" customWidth="1"/>
  </cols>
  <sheetData>
    <row r="1" spans="1:8" x14ac:dyDescent="0.25">
      <c r="A1" s="192" t="s">
        <v>353</v>
      </c>
      <c r="E1" t="s">
        <v>496</v>
      </c>
      <c r="G1" t="s">
        <v>497</v>
      </c>
      <c r="H1" t="s">
        <v>498</v>
      </c>
    </row>
    <row r="3" spans="1:8" x14ac:dyDescent="0.25">
      <c r="B3" s="75" t="s">
        <v>492</v>
      </c>
      <c r="E3" s="83">
        <v>30</v>
      </c>
      <c r="G3" s="148">
        <v>30</v>
      </c>
      <c r="H3" t="s">
        <v>493</v>
      </c>
    </row>
    <row r="5" spans="1:8" x14ac:dyDescent="0.25">
      <c r="E5" s="81">
        <f>E3*5</f>
        <v>150</v>
      </c>
      <c r="G5" t="str">
        <f ca="1">_xlfn.FORMULATEXT(E5)</f>
        <v>=E3*5</v>
      </c>
      <c r="H5" t="s">
        <v>494</v>
      </c>
    </row>
    <row r="6" spans="1:8" x14ac:dyDescent="0.25">
      <c r="E6" s="81">
        <f>E3</f>
        <v>30</v>
      </c>
      <c r="G6" t="str">
        <f ca="1">_xlfn.FORMULATEXT(E6)</f>
        <v>=E3</v>
      </c>
      <c r="H6" t="s">
        <v>500</v>
      </c>
    </row>
    <row r="10" spans="1:8" x14ac:dyDescent="0.25">
      <c r="E10" s="50" t="s">
        <v>7</v>
      </c>
      <c r="H10" t="s">
        <v>495</v>
      </c>
    </row>
    <row r="11" spans="1:8" x14ac:dyDescent="0.25">
      <c r="E11" s="40" t="s">
        <v>40</v>
      </c>
    </row>
  </sheetData>
  <hyperlinks>
    <hyperlink ref="A1" location="Input!A1" display="Input"/>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tabColor theme="5" tint="0.39997558519241921"/>
  </sheetPr>
  <dimension ref="A1:AM204"/>
  <sheetViews>
    <sheetView showGridLines="0" topLeftCell="C1" zoomScaleNormal="100" workbookViewId="0">
      <selection activeCell="C85" sqref="C85"/>
    </sheetView>
  </sheetViews>
  <sheetFormatPr defaultRowHeight="15" x14ac:dyDescent="0.25"/>
  <cols>
    <col min="1" max="1" width="15.7109375" customWidth="1"/>
    <col min="2" max="2" width="38.140625" customWidth="1"/>
    <col min="3" max="3" width="20.85546875" customWidth="1"/>
    <col min="4" max="4" width="14.42578125" customWidth="1"/>
    <col min="7" max="7" width="18.28515625" customWidth="1"/>
    <col min="8" max="8" width="13.28515625" customWidth="1"/>
    <col min="9" max="9" width="12.7109375" customWidth="1"/>
    <col min="10" max="10" width="15" customWidth="1"/>
    <col min="11" max="11" width="12.28515625" customWidth="1"/>
    <col min="12" max="12" width="12.7109375" customWidth="1"/>
    <col min="13" max="13" width="10.140625" customWidth="1"/>
    <col min="14" max="14" width="9.7109375" customWidth="1"/>
    <col min="17" max="17" width="22.85546875" hidden="1" customWidth="1"/>
    <col min="19" max="19" width="11.5703125" customWidth="1"/>
    <col min="20" max="20" width="12.5703125" customWidth="1"/>
    <col min="21" max="23" width="10.140625" customWidth="1"/>
  </cols>
  <sheetData>
    <row r="1" spans="1:23" x14ac:dyDescent="0.25">
      <c r="A1">
        <v>3</v>
      </c>
      <c r="B1" s="146">
        <v>5</v>
      </c>
      <c r="C1" s="148">
        <v>4</v>
      </c>
      <c r="D1" s="148">
        <v>2</v>
      </c>
      <c r="F1">
        <v>1</v>
      </c>
      <c r="J1" s="192" t="s">
        <v>384</v>
      </c>
      <c r="L1" s="145">
        <v>6</v>
      </c>
    </row>
    <row r="2" spans="1:23" x14ac:dyDescent="0.25">
      <c r="A2" s="267" t="s">
        <v>490</v>
      </c>
      <c r="B2" s="266" t="s">
        <v>223</v>
      </c>
      <c r="C2" s="192" t="s">
        <v>489</v>
      </c>
      <c r="E2" s="147"/>
      <c r="H2" s="192" t="s">
        <v>491</v>
      </c>
    </row>
    <row r="3" spans="1:23" x14ac:dyDescent="0.25">
      <c r="J3" s="192" t="s">
        <v>387</v>
      </c>
    </row>
    <row r="5" spans="1:23" x14ac:dyDescent="0.25">
      <c r="Q5" t="s">
        <v>188</v>
      </c>
    </row>
    <row r="6" spans="1:23" ht="53.25" customHeight="1" x14ac:dyDescent="0.25">
      <c r="B6" s="74" t="s">
        <v>0</v>
      </c>
      <c r="C6" s="74" t="s">
        <v>482</v>
      </c>
      <c r="D6" s="74" t="s">
        <v>189</v>
      </c>
      <c r="E6" s="74" t="s">
        <v>190</v>
      </c>
      <c r="F6" s="74" t="s">
        <v>191</v>
      </c>
      <c r="G6" s="74" t="s">
        <v>319</v>
      </c>
      <c r="H6" s="74" t="s">
        <v>481</v>
      </c>
      <c r="I6" s="74" t="s">
        <v>322</v>
      </c>
      <c r="J6" s="74" t="s">
        <v>320</v>
      </c>
      <c r="K6" s="74" t="s">
        <v>321</v>
      </c>
      <c r="L6" t="s">
        <v>313</v>
      </c>
      <c r="Q6" t="s">
        <v>192</v>
      </c>
    </row>
    <row r="7" spans="1:23" x14ac:dyDescent="0.25">
      <c r="A7" t="s">
        <v>192</v>
      </c>
      <c r="B7" s="50" t="s">
        <v>5</v>
      </c>
      <c r="C7" s="63">
        <v>10</v>
      </c>
      <c r="D7" t="s">
        <v>193</v>
      </c>
      <c r="E7" s="63" t="s">
        <v>194</v>
      </c>
      <c r="F7" s="72">
        <v>5</v>
      </c>
      <c r="G7" s="240">
        <v>1</v>
      </c>
      <c r="H7" s="255">
        <v>3</v>
      </c>
      <c r="I7" s="72">
        <v>1</v>
      </c>
      <c r="J7" s="72"/>
      <c r="K7" s="72"/>
      <c r="L7" t="s">
        <v>195</v>
      </c>
      <c r="M7" s="64">
        <f>SUM(C7:C20)</f>
        <v>375</v>
      </c>
      <c r="Q7" t="s">
        <v>192</v>
      </c>
      <c r="T7" s="231" t="s">
        <v>449</v>
      </c>
      <c r="U7" s="231"/>
      <c r="V7" s="231"/>
      <c r="W7" s="231"/>
    </row>
    <row r="8" spans="1:23" x14ac:dyDescent="0.25">
      <c r="B8" s="50" t="s">
        <v>10</v>
      </c>
      <c r="C8" s="63">
        <v>120</v>
      </c>
      <c r="D8" t="s">
        <v>193</v>
      </c>
      <c r="E8" s="63" t="s">
        <v>484</v>
      </c>
      <c r="F8" s="63">
        <v>15</v>
      </c>
      <c r="G8" s="240">
        <v>1</v>
      </c>
      <c r="H8" s="84">
        <v>2.5</v>
      </c>
      <c r="I8" s="63">
        <v>1.1000000000000001</v>
      </c>
      <c r="J8" s="63"/>
      <c r="K8" s="63"/>
      <c r="L8" t="s">
        <v>196</v>
      </c>
      <c r="M8" s="205">
        <f>+M7/Aantal_lunches_per_school_per_week</f>
        <v>93.75</v>
      </c>
      <c r="Q8" t="s">
        <v>192</v>
      </c>
    </row>
    <row r="9" spans="1:23" x14ac:dyDescent="0.25">
      <c r="B9" s="50" t="s">
        <v>12</v>
      </c>
      <c r="C9" s="63">
        <v>50</v>
      </c>
      <c r="D9" t="s">
        <v>193</v>
      </c>
      <c r="E9" s="63" t="s">
        <v>194</v>
      </c>
      <c r="F9" s="63">
        <v>10</v>
      </c>
      <c r="G9" s="240">
        <v>1</v>
      </c>
      <c r="H9" s="84">
        <v>4</v>
      </c>
      <c r="I9" s="63">
        <v>1</v>
      </c>
      <c r="J9" s="63"/>
      <c r="K9" s="63"/>
      <c r="Q9" t="s">
        <v>192</v>
      </c>
      <c r="V9" t="s">
        <v>451</v>
      </c>
    </row>
    <row r="10" spans="1:23" x14ac:dyDescent="0.25">
      <c r="B10" s="50" t="s">
        <v>14</v>
      </c>
      <c r="C10" s="63">
        <v>30</v>
      </c>
      <c r="D10" t="s">
        <v>193</v>
      </c>
      <c r="E10" s="63" t="s">
        <v>194</v>
      </c>
      <c r="F10" s="63">
        <v>5</v>
      </c>
      <c r="G10" s="241">
        <v>2</v>
      </c>
      <c r="H10" s="84">
        <v>4</v>
      </c>
      <c r="I10" s="63">
        <v>1.1499999999999999</v>
      </c>
      <c r="J10" s="63"/>
      <c r="K10" s="63"/>
      <c r="Q10" t="s">
        <v>192</v>
      </c>
      <c r="T10" s="233">
        <f ca="1">+Tuinders!S25</f>
        <v>1.3020833333333334E-2</v>
      </c>
      <c r="U10" s="234">
        <v>1</v>
      </c>
      <c r="V10" s="234">
        <v>2</v>
      </c>
      <c r="W10" s="234">
        <v>3</v>
      </c>
    </row>
    <row r="11" spans="1:23" x14ac:dyDescent="0.25">
      <c r="B11" s="50" t="s">
        <v>16</v>
      </c>
      <c r="C11" s="63">
        <v>10</v>
      </c>
      <c r="D11" t="s">
        <v>193</v>
      </c>
      <c r="E11" s="63" t="s">
        <v>483</v>
      </c>
      <c r="F11" s="63">
        <v>5</v>
      </c>
      <c r="G11" s="240">
        <v>1</v>
      </c>
      <c r="H11" s="84">
        <v>3</v>
      </c>
      <c r="I11" s="63">
        <v>1</v>
      </c>
      <c r="J11" s="63"/>
      <c r="K11" s="63"/>
      <c r="L11" t="s">
        <v>197</v>
      </c>
      <c r="M11" s="64">
        <f>SUM(C21:C32)</f>
        <v>375</v>
      </c>
      <c r="Q11" t="s">
        <v>192</v>
      </c>
      <c r="T11" s="234">
        <v>1</v>
      </c>
      <c r="U11" s="235">
        <f t="dataTable" ref="U11:W13" dt2D="1" dtr="1" r1="G14" r2="G10" ca="1"/>
        <v>4.340277777777778E-3</v>
      </c>
      <c r="V11" s="235">
        <v>8.6805555555555559E-3</v>
      </c>
      <c r="W11" s="235">
        <v>1.3020833333333334E-2</v>
      </c>
    </row>
    <row r="12" spans="1:23" x14ac:dyDescent="0.25">
      <c r="B12" s="50" t="s">
        <v>18</v>
      </c>
      <c r="C12" s="63">
        <v>20</v>
      </c>
      <c r="D12" t="s">
        <v>193</v>
      </c>
      <c r="E12" s="63" t="s">
        <v>194</v>
      </c>
      <c r="F12" s="63"/>
      <c r="G12" s="63"/>
      <c r="H12" s="84"/>
      <c r="I12" s="63">
        <v>1</v>
      </c>
      <c r="J12" s="63"/>
      <c r="K12" s="63"/>
      <c r="L12" t="s">
        <v>354</v>
      </c>
      <c r="M12" s="205">
        <f>+M11/Aantal_lunches_per_school_per_week</f>
        <v>93.75</v>
      </c>
      <c r="Q12" t="s">
        <v>192</v>
      </c>
      <c r="S12" t="s">
        <v>450</v>
      </c>
      <c r="T12" s="234">
        <v>2</v>
      </c>
      <c r="U12" s="235">
        <v>8.6805555555555559E-3</v>
      </c>
      <c r="V12" s="235">
        <v>8.6805555555555559E-3</v>
      </c>
      <c r="W12" s="233">
        <v>1.3020833333333334E-2</v>
      </c>
    </row>
    <row r="13" spans="1:23" x14ac:dyDescent="0.25">
      <c r="B13" s="50" t="s">
        <v>21</v>
      </c>
      <c r="C13" s="63">
        <v>20</v>
      </c>
      <c r="D13" t="s">
        <v>193</v>
      </c>
      <c r="E13" s="63" t="s">
        <v>194</v>
      </c>
      <c r="F13" s="63"/>
      <c r="G13" s="63"/>
      <c r="H13" s="84">
        <v>2</v>
      </c>
      <c r="I13" s="63">
        <v>1</v>
      </c>
      <c r="J13" s="63"/>
      <c r="K13" s="63"/>
      <c r="Q13" t="s">
        <v>192</v>
      </c>
      <c r="T13" s="234">
        <v>3</v>
      </c>
      <c r="U13" s="235">
        <v>1.3020833333333334E-2</v>
      </c>
      <c r="V13" s="235">
        <v>1.3020833333333334E-2</v>
      </c>
      <c r="W13" s="235">
        <v>1.3020833333333334E-2</v>
      </c>
    </row>
    <row r="14" spans="1:23" x14ac:dyDescent="0.25">
      <c r="B14" s="50" t="s">
        <v>23</v>
      </c>
      <c r="C14" s="63">
        <v>40</v>
      </c>
      <c r="D14" t="s">
        <v>193</v>
      </c>
      <c r="E14" s="63" t="s">
        <v>194</v>
      </c>
      <c r="F14" s="63">
        <v>5</v>
      </c>
      <c r="G14" s="241">
        <v>3</v>
      </c>
      <c r="H14" s="84">
        <v>3</v>
      </c>
      <c r="I14" s="63">
        <v>1.1499999999999999</v>
      </c>
      <c r="J14" s="63"/>
      <c r="K14" s="63"/>
      <c r="Q14" t="s">
        <v>192</v>
      </c>
    </row>
    <row r="15" spans="1:23" x14ac:dyDescent="0.25">
      <c r="B15" s="50" t="s">
        <v>25</v>
      </c>
      <c r="C15" s="63">
        <v>10</v>
      </c>
      <c r="D15" t="s">
        <v>193</v>
      </c>
      <c r="E15" s="63" t="s">
        <v>194</v>
      </c>
      <c r="F15" s="63"/>
      <c r="G15" s="63"/>
      <c r="H15" s="84"/>
      <c r="I15" s="63">
        <v>1</v>
      </c>
      <c r="J15" s="63"/>
      <c r="K15" s="63"/>
      <c r="Q15" t="s">
        <v>192</v>
      </c>
      <c r="S15" t="s">
        <v>452</v>
      </c>
    </row>
    <row r="16" spans="1:23" x14ac:dyDescent="0.25">
      <c r="B16" s="50" t="s">
        <v>27</v>
      </c>
      <c r="C16" s="63">
        <v>10</v>
      </c>
      <c r="D16" t="s">
        <v>193</v>
      </c>
      <c r="E16" s="63" t="s">
        <v>194</v>
      </c>
      <c r="F16" s="63">
        <v>10</v>
      </c>
      <c r="G16" s="240">
        <v>1</v>
      </c>
      <c r="H16" s="84">
        <v>2</v>
      </c>
      <c r="I16" s="63">
        <v>1</v>
      </c>
      <c r="J16" s="63"/>
      <c r="K16" s="63"/>
      <c r="Q16" t="s">
        <v>192</v>
      </c>
    </row>
    <row r="17" spans="2:22" x14ac:dyDescent="0.25">
      <c r="B17" s="50" t="s">
        <v>29</v>
      </c>
      <c r="C17" s="63">
        <v>15</v>
      </c>
      <c r="D17" t="s">
        <v>193</v>
      </c>
      <c r="E17" s="63" t="s">
        <v>194</v>
      </c>
      <c r="F17" s="63"/>
      <c r="G17" s="63"/>
      <c r="H17" s="84"/>
      <c r="I17" s="63">
        <v>1</v>
      </c>
      <c r="J17" s="63"/>
      <c r="K17" s="63"/>
      <c r="Q17" t="s">
        <v>192</v>
      </c>
      <c r="T17" t="s">
        <v>454</v>
      </c>
      <c r="U17" s="232">
        <f>+W13-U11</f>
        <v>8.6805555555555559E-3</v>
      </c>
      <c r="V17" t="s">
        <v>453</v>
      </c>
    </row>
    <row r="18" spans="2:22" x14ac:dyDescent="0.25">
      <c r="B18" s="50" t="s">
        <v>31</v>
      </c>
      <c r="C18" s="63">
        <v>20</v>
      </c>
      <c r="D18" t="s">
        <v>193</v>
      </c>
      <c r="E18" s="63" t="s">
        <v>194</v>
      </c>
      <c r="F18" s="63">
        <v>5</v>
      </c>
      <c r="G18" s="240">
        <v>1</v>
      </c>
      <c r="H18" s="84">
        <v>3</v>
      </c>
      <c r="I18" s="63">
        <v>1</v>
      </c>
      <c r="J18" s="63"/>
      <c r="K18" s="63"/>
      <c r="Q18" t="s">
        <v>192</v>
      </c>
      <c r="U18" s="188"/>
    </row>
    <row r="19" spans="2:22" x14ac:dyDescent="0.25">
      <c r="B19" s="50" t="s">
        <v>33</v>
      </c>
      <c r="C19" s="63">
        <v>10</v>
      </c>
      <c r="D19" t="s">
        <v>193</v>
      </c>
      <c r="E19" s="63" t="s">
        <v>194</v>
      </c>
      <c r="F19" s="63"/>
      <c r="G19" s="63"/>
      <c r="H19" s="84"/>
      <c r="I19" s="63">
        <v>1</v>
      </c>
      <c r="J19" s="63"/>
      <c r="K19" s="63"/>
      <c r="Q19" t="s">
        <v>192</v>
      </c>
    </row>
    <row r="20" spans="2:22" x14ac:dyDescent="0.25">
      <c r="B20" s="50" t="s">
        <v>36</v>
      </c>
      <c r="C20" s="63">
        <v>10</v>
      </c>
      <c r="D20" t="s">
        <v>193</v>
      </c>
      <c r="E20" s="63" t="s">
        <v>194</v>
      </c>
      <c r="F20" s="63"/>
      <c r="G20" s="63"/>
      <c r="H20" s="84"/>
      <c r="I20" s="63">
        <v>1</v>
      </c>
      <c r="J20" s="63"/>
      <c r="K20" s="63"/>
      <c r="Q20" t="s">
        <v>192</v>
      </c>
    </row>
    <row r="21" spans="2:22" x14ac:dyDescent="0.25">
      <c r="B21" s="40" t="s">
        <v>38</v>
      </c>
      <c r="C21" s="63">
        <v>15</v>
      </c>
      <c r="D21" t="s">
        <v>193</v>
      </c>
      <c r="E21" s="63" t="s">
        <v>194</v>
      </c>
      <c r="F21" s="63"/>
      <c r="G21" s="63"/>
      <c r="H21" s="84"/>
      <c r="I21" s="63">
        <v>1</v>
      </c>
      <c r="J21" s="63"/>
      <c r="K21" s="63"/>
      <c r="Q21" t="s">
        <v>192</v>
      </c>
    </row>
    <row r="22" spans="2:22" x14ac:dyDescent="0.25">
      <c r="B22" s="40" t="s">
        <v>41</v>
      </c>
      <c r="C22" s="63">
        <v>60</v>
      </c>
      <c r="D22" t="s">
        <v>193</v>
      </c>
      <c r="E22" s="63" t="s">
        <v>194</v>
      </c>
      <c r="F22" s="63"/>
      <c r="G22" s="63"/>
      <c r="H22" s="84"/>
      <c r="I22" s="63">
        <v>1</v>
      </c>
      <c r="J22" s="63"/>
      <c r="K22" s="63"/>
      <c r="Q22" t="s">
        <v>192</v>
      </c>
    </row>
    <row r="23" spans="2:22" x14ac:dyDescent="0.25">
      <c r="B23" s="40" t="s">
        <v>43</v>
      </c>
      <c r="C23" s="63">
        <v>10</v>
      </c>
      <c r="D23" t="s">
        <v>193</v>
      </c>
      <c r="E23" s="63" t="s">
        <v>194</v>
      </c>
      <c r="F23" s="63"/>
      <c r="G23" s="63"/>
      <c r="H23" s="84"/>
      <c r="I23" s="63">
        <v>1</v>
      </c>
      <c r="J23" s="63"/>
      <c r="K23" s="63"/>
      <c r="Q23" t="s">
        <v>192</v>
      </c>
    </row>
    <row r="24" spans="2:22" x14ac:dyDescent="0.25">
      <c r="B24" s="40" t="s">
        <v>45</v>
      </c>
      <c r="C24" s="63">
        <v>10</v>
      </c>
      <c r="D24" t="s">
        <v>193</v>
      </c>
      <c r="E24" s="63" t="s">
        <v>194</v>
      </c>
      <c r="F24" s="63"/>
      <c r="G24" s="63"/>
      <c r="H24" s="84"/>
      <c r="I24" s="63">
        <v>1</v>
      </c>
      <c r="J24" s="63"/>
      <c r="K24" s="63"/>
      <c r="Q24" t="s">
        <v>192</v>
      </c>
    </row>
    <row r="25" spans="2:22" x14ac:dyDescent="0.25">
      <c r="B25" s="42" t="s">
        <v>47</v>
      </c>
      <c r="C25" s="63">
        <v>120</v>
      </c>
      <c r="D25" t="s">
        <v>193</v>
      </c>
      <c r="E25" s="63" t="s">
        <v>194</v>
      </c>
      <c r="F25" s="63">
        <v>25</v>
      </c>
      <c r="G25" s="240">
        <v>1</v>
      </c>
      <c r="H25" s="84"/>
      <c r="I25" s="63">
        <v>1</v>
      </c>
      <c r="J25" s="63"/>
      <c r="K25" s="63"/>
      <c r="Q25" t="s">
        <v>192</v>
      </c>
    </row>
    <row r="26" spans="2:22" x14ac:dyDescent="0.25">
      <c r="B26" s="40" t="s">
        <v>49</v>
      </c>
      <c r="C26" s="63">
        <v>10</v>
      </c>
      <c r="D26" t="s">
        <v>193</v>
      </c>
      <c r="E26" s="63" t="s">
        <v>194</v>
      </c>
      <c r="F26" s="63"/>
      <c r="G26" s="63"/>
      <c r="H26" s="84"/>
      <c r="I26" s="63">
        <v>1</v>
      </c>
      <c r="J26" s="63"/>
      <c r="K26" s="63"/>
      <c r="Q26" t="s">
        <v>192</v>
      </c>
    </row>
    <row r="27" spans="2:22" x14ac:dyDescent="0.25">
      <c r="B27" s="40" t="s">
        <v>51</v>
      </c>
      <c r="C27" s="63">
        <v>10</v>
      </c>
      <c r="D27" t="s">
        <v>193</v>
      </c>
      <c r="E27" s="63" t="s">
        <v>194</v>
      </c>
      <c r="F27" s="63"/>
      <c r="G27" s="63"/>
      <c r="H27" s="84"/>
      <c r="I27" s="63">
        <v>1</v>
      </c>
      <c r="J27" s="63"/>
      <c r="K27" s="63"/>
      <c r="Q27" t="s">
        <v>192</v>
      </c>
    </row>
    <row r="28" spans="2:22" x14ac:dyDescent="0.25">
      <c r="B28" s="40" t="s">
        <v>53</v>
      </c>
      <c r="C28" s="63">
        <v>100</v>
      </c>
      <c r="D28" t="s">
        <v>193</v>
      </c>
      <c r="E28" s="63" t="s">
        <v>194</v>
      </c>
      <c r="F28" s="63"/>
      <c r="G28" s="63"/>
      <c r="H28" s="84"/>
      <c r="I28" s="63">
        <v>1</v>
      </c>
      <c r="J28" s="63"/>
      <c r="K28" s="63"/>
      <c r="Q28" t="s">
        <v>192</v>
      </c>
    </row>
    <row r="29" spans="2:22" x14ac:dyDescent="0.25">
      <c r="B29" s="40" t="s">
        <v>55</v>
      </c>
      <c r="C29" s="63">
        <v>10</v>
      </c>
      <c r="D29" t="s">
        <v>193</v>
      </c>
      <c r="E29" s="63" t="s">
        <v>194</v>
      </c>
      <c r="F29" s="63"/>
      <c r="G29" s="63"/>
      <c r="H29" s="84"/>
      <c r="I29" s="63">
        <v>1</v>
      </c>
      <c r="J29" s="63"/>
      <c r="K29" s="63"/>
      <c r="Q29" t="s">
        <v>192</v>
      </c>
    </row>
    <row r="30" spans="2:22" x14ac:dyDescent="0.25">
      <c r="B30" s="40" t="s">
        <v>57</v>
      </c>
      <c r="C30" s="63">
        <v>10</v>
      </c>
      <c r="D30" t="s">
        <v>193</v>
      </c>
      <c r="E30" s="63" t="s">
        <v>194</v>
      </c>
      <c r="F30" s="63">
        <v>6</v>
      </c>
      <c r="G30" s="240">
        <v>1</v>
      </c>
      <c r="H30" s="84"/>
      <c r="I30" s="63">
        <v>1</v>
      </c>
      <c r="J30" s="63"/>
      <c r="K30" s="63"/>
      <c r="Q30" t="s">
        <v>192</v>
      </c>
    </row>
    <row r="31" spans="2:22" x14ac:dyDescent="0.25">
      <c r="B31" s="40" t="s">
        <v>59</v>
      </c>
      <c r="C31" s="63">
        <v>10</v>
      </c>
      <c r="D31" t="s">
        <v>193</v>
      </c>
      <c r="E31" s="63" t="s">
        <v>194</v>
      </c>
      <c r="F31" s="63"/>
      <c r="G31" s="63"/>
      <c r="H31" s="84"/>
      <c r="I31" s="63">
        <v>1</v>
      </c>
      <c r="J31" s="63"/>
      <c r="K31" s="63"/>
      <c r="Q31" t="s">
        <v>192</v>
      </c>
    </row>
    <row r="32" spans="2:22" x14ac:dyDescent="0.25">
      <c r="B32" s="40" t="s">
        <v>61</v>
      </c>
      <c r="C32" s="63">
        <v>10</v>
      </c>
      <c r="D32" t="s">
        <v>193</v>
      </c>
      <c r="E32" s="63" t="s">
        <v>194</v>
      </c>
      <c r="F32" s="63"/>
      <c r="G32" s="63"/>
      <c r="H32" s="84"/>
      <c r="I32" s="63">
        <v>1</v>
      </c>
      <c r="J32" s="63"/>
      <c r="K32" s="63"/>
      <c r="Q32" t="s">
        <v>192</v>
      </c>
    </row>
    <row r="33" spans="1:17" x14ac:dyDescent="0.25">
      <c r="Q33" t="s">
        <v>192</v>
      </c>
    </row>
    <row r="34" spans="1:17" x14ac:dyDescent="0.25">
      <c r="Q34" t="s">
        <v>198</v>
      </c>
    </row>
    <row r="35" spans="1:17" x14ac:dyDescent="0.25">
      <c r="Q35" t="s">
        <v>198</v>
      </c>
    </row>
    <row r="36" spans="1:17" x14ac:dyDescent="0.25">
      <c r="A36" t="s">
        <v>198</v>
      </c>
      <c r="B36" t="s">
        <v>199</v>
      </c>
      <c r="C36" s="163">
        <v>7</v>
      </c>
      <c r="E36" t="s">
        <v>200</v>
      </c>
      <c r="G36" s="65">
        <f>Aantal_Deelnemende_Scholen*Aantal_groepen*Aantal_Lunches_per_Groep</f>
        <v>1008</v>
      </c>
      <c r="H36" t="str">
        <f ca="1">_xlfn.FORMULATEXT(G36)</f>
        <v>=Aantal_Deelnemende_Scholen*Aantal_groepen*Aantal_Lunches_per_Groep</v>
      </c>
      <c r="Q36" t="s">
        <v>198</v>
      </c>
    </row>
    <row r="37" spans="1:17" x14ac:dyDescent="0.25">
      <c r="B37" t="s">
        <v>201</v>
      </c>
      <c r="Q37" t="s">
        <v>198</v>
      </c>
    </row>
    <row r="38" spans="1:17" x14ac:dyDescent="0.25">
      <c r="Q38" t="s">
        <v>198</v>
      </c>
    </row>
    <row r="39" spans="1:17" x14ac:dyDescent="0.25">
      <c r="B39" t="s">
        <v>202</v>
      </c>
      <c r="C39" s="63">
        <v>8</v>
      </c>
      <c r="Q39" t="s">
        <v>198</v>
      </c>
    </row>
    <row r="40" spans="1:17" x14ac:dyDescent="0.25">
      <c r="E40" s="156" t="s">
        <v>355</v>
      </c>
      <c r="Q40" t="s">
        <v>198</v>
      </c>
    </row>
    <row r="41" spans="1:17" x14ac:dyDescent="0.25">
      <c r="B41" t="s">
        <v>203</v>
      </c>
      <c r="C41" s="63">
        <v>18</v>
      </c>
      <c r="D41">
        <f>+Aantal_Lunches_per_Groep*Aantal_groepen</f>
        <v>144</v>
      </c>
      <c r="E41" t="s">
        <v>356</v>
      </c>
      <c r="G41" s="65">
        <f>Aantal_Leerlingen*Aantal_lunches_per_school_per_week</f>
        <v>4032</v>
      </c>
      <c r="H41" t="str">
        <f ca="1">_xlfn.FORMULATEXT(G41)</f>
        <v>=Aantal_Leerlingen*Aantal_lunches_per_school_per_week</v>
      </c>
      <c r="Q41" t="s">
        <v>198</v>
      </c>
    </row>
    <row r="42" spans="1:17" x14ac:dyDescent="0.25">
      <c r="B42" t="s">
        <v>204</v>
      </c>
      <c r="Q42" t="s">
        <v>198</v>
      </c>
    </row>
    <row r="43" spans="1:17" x14ac:dyDescent="0.25">
      <c r="Q43" t="s">
        <v>198</v>
      </c>
    </row>
    <row r="44" spans="1:17" x14ac:dyDescent="0.25">
      <c r="B44" t="s">
        <v>205</v>
      </c>
      <c r="C44" s="63">
        <v>4</v>
      </c>
      <c r="E44" s="88"/>
      <c r="Q44" t="s">
        <v>198</v>
      </c>
    </row>
    <row r="45" spans="1:17" x14ac:dyDescent="0.25">
      <c r="Q45" t="s">
        <v>206</v>
      </c>
    </row>
    <row r="46" spans="1:17" x14ac:dyDescent="0.25">
      <c r="A46" t="s">
        <v>312</v>
      </c>
      <c r="B46" s="75" t="s">
        <v>207</v>
      </c>
      <c r="C46" s="75" t="s">
        <v>208</v>
      </c>
      <c r="Q46" t="s">
        <v>206</v>
      </c>
    </row>
    <row r="47" spans="1:17" ht="17.25" x14ac:dyDescent="0.25">
      <c r="B47" t="s">
        <v>209</v>
      </c>
      <c r="C47" s="63">
        <v>7.0000000000000007E-2</v>
      </c>
      <c r="D47" t="s">
        <v>210</v>
      </c>
      <c r="Q47" t="s">
        <v>206</v>
      </c>
    </row>
    <row r="48" spans="1:17" ht="17.25" x14ac:dyDescent="0.25">
      <c r="B48" t="s">
        <v>211</v>
      </c>
      <c r="C48" s="63">
        <v>0.05</v>
      </c>
      <c r="D48" t="s">
        <v>210</v>
      </c>
      <c r="Q48" t="s">
        <v>206</v>
      </c>
    </row>
    <row r="49" spans="1:17" ht="17.25" x14ac:dyDescent="0.25">
      <c r="B49" t="s">
        <v>212</v>
      </c>
      <c r="C49" s="63">
        <v>0.03</v>
      </c>
      <c r="D49" t="s">
        <v>210</v>
      </c>
      <c r="Q49" t="s">
        <v>206</v>
      </c>
    </row>
    <row r="50" spans="1:17" ht="17.25" x14ac:dyDescent="0.25">
      <c r="B50" t="s">
        <v>213</v>
      </c>
      <c r="C50" s="63">
        <v>0.02</v>
      </c>
      <c r="D50" t="s">
        <v>210</v>
      </c>
      <c r="Q50" t="s">
        <v>206</v>
      </c>
    </row>
    <row r="51" spans="1:17" x14ac:dyDescent="0.25">
      <c r="Q51" t="s">
        <v>206</v>
      </c>
    </row>
    <row r="52" spans="1:17" x14ac:dyDescent="0.25">
      <c r="Q52" t="s">
        <v>206</v>
      </c>
    </row>
    <row r="53" spans="1:17" x14ac:dyDescent="0.25">
      <c r="B53" s="75" t="s">
        <v>214</v>
      </c>
      <c r="Q53" t="s">
        <v>206</v>
      </c>
    </row>
    <row r="54" spans="1:17" ht="17.25" x14ac:dyDescent="0.25">
      <c r="A54" t="s">
        <v>263</v>
      </c>
      <c r="B54" t="s">
        <v>215</v>
      </c>
      <c r="C54" s="63">
        <v>5</v>
      </c>
      <c r="D54" t="s">
        <v>256</v>
      </c>
      <c r="Q54" t="s">
        <v>206</v>
      </c>
    </row>
    <row r="55" spans="1:17" x14ac:dyDescent="0.25">
      <c r="B55" t="s">
        <v>216</v>
      </c>
      <c r="C55" s="63">
        <v>700</v>
      </c>
      <c r="D55" t="s">
        <v>217</v>
      </c>
      <c r="Q55" t="s">
        <v>206</v>
      </c>
    </row>
    <row r="56" spans="1:17" x14ac:dyDescent="0.25">
      <c r="B56" t="s">
        <v>219</v>
      </c>
      <c r="C56" s="76">
        <v>8</v>
      </c>
      <c r="Q56" t="s">
        <v>206</v>
      </c>
    </row>
    <row r="57" spans="1:17" x14ac:dyDescent="0.25">
      <c r="Q57" t="s">
        <v>206</v>
      </c>
    </row>
    <row r="58" spans="1:17" ht="17.25" x14ac:dyDescent="0.25">
      <c r="B58" t="s">
        <v>253</v>
      </c>
      <c r="C58" s="63">
        <v>33.5</v>
      </c>
      <c r="D58" t="s">
        <v>256</v>
      </c>
      <c r="Q58" t="s">
        <v>206</v>
      </c>
    </row>
    <row r="59" spans="1:17" x14ac:dyDescent="0.25">
      <c r="A59" t="s">
        <v>311</v>
      </c>
      <c r="B59" t="s">
        <v>254</v>
      </c>
      <c r="C59" s="63">
        <v>9500</v>
      </c>
      <c r="D59" t="s">
        <v>255</v>
      </c>
      <c r="Q59" t="s">
        <v>206</v>
      </c>
    </row>
    <row r="60" spans="1:17" x14ac:dyDescent="0.25">
      <c r="B60" t="s">
        <v>261</v>
      </c>
      <c r="C60" s="76">
        <v>8</v>
      </c>
      <c r="Q60" t="s">
        <v>206</v>
      </c>
    </row>
    <row r="61" spans="1:17" x14ac:dyDescent="0.25">
      <c r="Q61" t="s">
        <v>206</v>
      </c>
    </row>
    <row r="62" spans="1:17" x14ac:dyDescent="0.25">
      <c r="B62" t="s">
        <v>218</v>
      </c>
      <c r="C62" s="63">
        <v>3</v>
      </c>
      <c r="Q62" t="s">
        <v>206</v>
      </c>
    </row>
    <row r="63" spans="1:17" x14ac:dyDescent="0.25">
      <c r="Q63" t="s">
        <v>206</v>
      </c>
    </row>
    <row r="64" spans="1:17" x14ac:dyDescent="0.25">
      <c r="Q64" t="s">
        <v>206</v>
      </c>
    </row>
    <row r="65" spans="1:39" x14ac:dyDescent="0.25">
      <c r="Q65" t="s">
        <v>206</v>
      </c>
    </row>
    <row r="66" spans="1:39" x14ac:dyDescent="0.25">
      <c r="Q66" t="s">
        <v>206</v>
      </c>
    </row>
    <row r="67" spans="1:39" x14ac:dyDescent="0.25">
      <c r="Q67" t="s">
        <v>206</v>
      </c>
    </row>
    <row r="68" spans="1:39" x14ac:dyDescent="0.25">
      <c r="Q68" t="s">
        <v>206</v>
      </c>
    </row>
    <row r="69" spans="1:39" x14ac:dyDescent="0.25">
      <c r="B69" t="s">
        <v>220</v>
      </c>
      <c r="C69" s="76">
        <v>15</v>
      </c>
      <c r="D69" t="s">
        <v>221</v>
      </c>
      <c r="E69" s="87"/>
      <c r="Q69" t="s">
        <v>206</v>
      </c>
    </row>
    <row r="70" spans="1:39" x14ac:dyDescent="0.25">
      <c r="B70" t="s">
        <v>257</v>
      </c>
      <c r="C70" s="77">
        <v>0.5</v>
      </c>
      <c r="E70" s="87"/>
      <c r="Q70" t="s">
        <v>206</v>
      </c>
    </row>
    <row r="71" spans="1:39" x14ac:dyDescent="0.25">
      <c r="B71" t="s">
        <v>259</v>
      </c>
      <c r="C71" s="77">
        <v>30</v>
      </c>
      <c r="E71" s="87"/>
      <c r="Q71" t="s">
        <v>206</v>
      </c>
    </row>
    <row r="72" spans="1:39" x14ac:dyDescent="0.25">
      <c r="B72" t="s">
        <v>258</v>
      </c>
      <c r="C72" s="77">
        <v>0.75</v>
      </c>
      <c r="Q72" t="s">
        <v>206</v>
      </c>
    </row>
    <row r="73" spans="1:39" x14ac:dyDescent="0.25">
      <c r="B73" t="s">
        <v>260</v>
      </c>
      <c r="C73" s="77">
        <v>35</v>
      </c>
      <c r="Q73" t="s">
        <v>206</v>
      </c>
    </row>
    <row r="74" spans="1:39" x14ac:dyDescent="0.25">
      <c r="Q74" t="s">
        <v>206</v>
      </c>
    </row>
    <row r="75" spans="1:39" x14ac:dyDescent="0.25">
      <c r="A75" s="75" t="s">
        <v>223</v>
      </c>
      <c r="B75" s="75" t="s">
        <v>275</v>
      </c>
      <c r="C75" s="63">
        <v>2</v>
      </c>
      <c r="E75" t="s">
        <v>447</v>
      </c>
      <c r="G75" s="192" t="s">
        <v>379</v>
      </c>
      <c r="Q75" t="s">
        <v>222</v>
      </c>
      <c r="V75" t="s">
        <v>455</v>
      </c>
      <c r="AG75" t="s">
        <v>464</v>
      </c>
    </row>
    <row r="76" spans="1:39" ht="17.25" x14ac:dyDescent="0.25">
      <c r="B76" t="s">
        <v>225</v>
      </c>
      <c r="C76" s="63">
        <v>2</v>
      </c>
      <c r="D76" t="s">
        <v>256</v>
      </c>
      <c r="Q76" t="s">
        <v>222</v>
      </c>
      <c r="T76" s="244">
        <f>+Dashboard!N9</f>
        <v>0.1875</v>
      </c>
      <c r="U76" s="245">
        <v>2.5</v>
      </c>
      <c r="V76" s="245">
        <v>5</v>
      </c>
      <c r="W76" s="245">
        <v>7.5</v>
      </c>
      <c r="X76" s="245">
        <v>10</v>
      </c>
      <c r="Y76" s="245">
        <v>15</v>
      </c>
      <c r="Z76" s="245">
        <v>20</v>
      </c>
      <c r="AC76">
        <v>1</v>
      </c>
      <c r="AD76" s="243">
        <f>+Dashboard!N9</f>
        <v>0.1875</v>
      </c>
      <c r="AE76" s="63">
        <v>5</v>
      </c>
      <c r="AF76" s="63">
        <v>7.5</v>
      </c>
      <c r="AG76" s="63">
        <v>10</v>
      </c>
      <c r="AH76" s="63">
        <v>15</v>
      </c>
      <c r="AI76" s="63">
        <v>20</v>
      </c>
      <c r="AK76" t="s">
        <v>460</v>
      </c>
    </row>
    <row r="77" spans="1:39" x14ac:dyDescent="0.25">
      <c r="B77" t="s">
        <v>276</v>
      </c>
      <c r="C77" s="63">
        <v>2</v>
      </c>
      <c r="Q77" t="s">
        <v>222</v>
      </c>
      <c r="T77" s="245">
        <v>1</v>
      </c>
      <c r="U77" s="246">
        <f t="dataTable" ref="U77:Z83" dt2D="1" dtr="1" r1="C83" r2="C75" ca="1"/>
        <v>0.14508928571428573</v>
      </c>
      <c r="V77" s="246">
        <v>0.15625</v>
      </c>
      <c r="W77" s="246">
        <v>0.16741071428571427</v>
      </c>
      <c r="X77" s="246">
        <v>0.17857142857142858</v>
      </c>
      <c r="Y77" s="246">
        <v>0.20089285714285715</v>
      </c>
      <c r="Z77" s="246">
        <v>0.22321428571428573</v>
      </c>
      <c r="AB77" t="s">
        <v>461</v>
      </c>
      <c r="AC77">
        <v>1.5</v>
      </c>
      <c r="AD77">
        <v>5</v>
      </c>
      <c r="AE77" s="186">
        <f t="dataTable" ref="AE77:AI97" dt2D="1" dtr="1" r1="C83" r2="C36" ca="1"/>
        <v>0.16527777777777777</v>
      </c>
      <c r="AF77" s="186">
        <v>0.17499999999999999</v>
      </c>
      <c r="AG77" s="186">
        <v>0.18472222222222223</v>
      </c>
      <c r="AH77" s="186">
        <v>0.20416666666666666</v>
      </c>
      <c r="AI77" s="186">
        <v>0.22361111111111112</v>
      </c>
      <c r="AJ77">
        <v>5</v>
      </c>
      <c r="AK77">
        <v>10</v>
      </c>
      <c r="AL77">
        <v>15</v>
      </c>
      <c r="AM77">
        <v>20</v>
      </c>
    </row>
    <row r="78" spans="1:39" ht="17.25" x14ac:dyDescent="0.25">
      <c r="B78" t="s">
        <v>277</v>
      </c>
      <c r="C78" s="63">
        <v>10</v>
      </c>
      <c r="D78" t="s">
        <v>256</v>
      </c>
      <c r="E78" t="s">
        <v>448</v>
      </c>
      <c r="Q78" t="s">
        <v>222</v>
      </c>
      <c r="T78" s="245">
        <v>1.5</v>
      </c>
      <c r="U78" s="246">
        <v>0.14508928571428573</v>
      </c>
      <c r="V78" s="246">
        <v>0.15625</v>
      </c>
      <c r="W78" s="246">
        <v>0.16741071428571427</v>
      </c>
      <c r="X78" s="246">
        <v>0.17857142857142858</v>
      </c>
      <c r="Y78" s="246">
        <v>0.20089285714285715</v>
      </c>
      <c r="Z78" s="246">
        <v>0.22321428571428573</v>
      </c>
      <c r="AD78">
        <v>6</v>
      </c>
      <c r="AE78" s="186">
        <v>0.15740740740740741</v>
      </c>
      <c r="AF78" s="186">
        <v>0.16666666666666666</v>
      </c>
      <c r="AG78" s="186">
        <v>0.17592592592592593</v>
      </c>
      <c r="AH78" s="186">
        <v>0.19444444444444445</v>
      </c>
      <c r="AI78" s="186">
        <v>0.21296296296296297</v>
      </c>
    </row>
    <row r="79" spans="1:39" x14ac:dyDescent="0.25">
      <c r="B79" t="s">
        <v>278</v>
      </c>
      <c r="C79" s="63">
        <v>2</v>
      </c>
      <c r="Q79" t="s">
        <v>222</v>
      </c>
      <c r="S79" t="s">
        <v>466</v>
      </c>
      <c r="T79" s="245">
        <v>2</v>
      </c>
      <c r="U79" s="246">
        <v>0.14285714285714285</v>
      </c>
      <c r="V79" s="246">
        <v>0.15178571428571427</v>
      </c>
      <c r="W79" s="246">
        <v>0.16071428571428573</v>
      </c>
      <c r="X79" s="246">
        <v>0.16964285714285715</v>
      </c>
      <c r="Y79" s="247">
        <v>0.1875</v>
      </c>
      <c r="Z79" s="246">
        <v>0.20535714285714285</v>
      </c>
      <c r="AB79" s="63">
        <v>7</v>
      </c>
      <c r="AD79">
        <v>7</v>
      </c>
      <c r="AE79" s="186">
        <v>0.15178571428571427</v>
      </c>
      <c r="AF79" s="186">
        <v>0.16071428571428573</v>
      </c>
      <c r="AG79" s="186">
        <v>0.16964285714285715</v>
      </c>
      <c r="AH79" s="193">
        <v>0.1875</v>
      </c>
      <c r="AI79" s="186">
        <v>0.20535714285714285</v>
      </c>
    </row>
    <row r="80" spans="1:39" ht="17.25" x14ac:dyDescent="0.25">
      <c r="B80" t="s">
        <v>279</v>
      </c>
      <c r="C80" s="63">
        <v>0.75</v>
      </c>
      <c r="D80" t="s">
        <v>256</v>
      </c>
      <c r="Q80" t="s">
        <v>222</v>
      </c>
      <c r="S80" t="s">
        <v>467</v>
      </c>
      <c r="T80" s="245">
        <v>2.5</v>
      </c>
      <c r="U80" s="246">
        <v>0.11607142857142858</v>
      </c>
      <c r="V80" s="246">
        <v>0.125</v>
      </c>
      <c r="W80" s="246">
        <v>0.13392857142857142</v>
      </c>
      <c r="X80" s="246">
        <v>0.14285714285714285</v>
      </c>
      <c r="Y80" s="246">
        <v>0.16071428571428573</v>
      </c>
      <c r="Z80" s="246">
        <v>0.17857142857142858</v>
      </c>
      <c r="AD80">
        <v>8</v>
      </c>
      <c r="AE80" s="186">
        <v>0.14756944444444445</v>
      </c>
      <c r="AF80" s="186">
        <v>0.15625</v>
      </c>
      <c r="AG80" s="186">
        <v>0.16493055555555555</v>
      </c>
      <c r="AH80" s="186">
        <v>0.18229166666666666</v>
      </c>
      <c r="AI80" s="186">
        <v>0.19965277777777779</v>
      </c>
      <c r="AL80" s="242"/>
    </row>
    <row r="81" spans="2:35" x14ac:dyDescent="0.25">
      <c r="Q81" t="s">
        <v>222</v>
      </c>
      <c r="S81" t="s">
        <v>465</v>
      </c>
      <c r="T81" s="245">
        <v>3</v>
      </c>
      <c r="U81" s="246">
        <v>0.14508928571428573</v>
      </c>
      <c r="V81" s="246">
        <v>0.15625</v>
      </c>
      <c r="W81" s="246">
        <v>0.16567460317460317</v>
      </c>
      <c r="X81" s="246">
        <v>0.17460317460317459</v>
      </c>
      <c r="Y81" s="246">
        <v>0.19246031746031747</v>
      </c>
      <c r="Z81" s="246">
        <v>0.21031746031746032</v>
      </c>
      <c r="AD81">
        <v>9</v>
      </c>
      <c r="AE81" s="186">
        <v>0.15740740740740741</v>
      </c>
      <c r="AF81" s="186">
        <v>0.16666666666666666</v>
      </c>
      <c r="AG81" s="186">
        <v>0.17592592592592593</v>
      </c>
      <c r="AH81" s="186">
        <v>0.19444444444444445</v>
      </c>
      <c r="AI81" s="186">
        <v>0.21296296296296297</v>
      </c>
    </row>
    <row r="82" spans="2:35" x14ac:dyDescent="0.25">
      <c r="B82" t="s">
        <v>227</v>
      </c>
      <c r="C82" s="63">
        <v>2</v>
      </c>
      <c r="D82" t="s">
        <v>228</v>
      </c>
      <c r="Q82" t="s">
        <v>222</v>
      </c>
      <c r="S82" t="s">
        <v>228</v>
      </c>
      <c r="T82" s="245">
        <v>3.5</v>
      </c>
      <c r="U82" s="246">
        <v>0.12797619047619047</v>
      </c>
      <c r="V82" s="246">
        <v>0.13690476190476192</v>
      </c>
      <c r="W82" s="246">
        <v>0.14583333333333334</v>
      </c>
      <c r="X82" s="246">
        <v>0.15476190476190477</v>
      </c>
      <c r="Y82" s="246">
        <v>0.17261904761904762</v>
      </c>
      <c r="Z82" s="246">
        <v>0.19047619047619047</v>
      </c>
      <c r="AD82">
        <v>10</v>
      </c>
      <c r="AE82" s="186">
        <v>0.15347222222222223</v>
      </c>
      <c r="AF82" s="186">
        <v>0.16250000000000001</v>
      </c>
      <c r="AG82" s="186">
        <v>0.17152777777777778</v>
      </c>
      <c r="AH82" s="186">
        <v>0.18958333333333333</v>
      </c>
      <c r="AI82" s="186">
        <v>0.2076388888888889</v>
      </c>
    </row>
    <row r="83" spans="2:35" x14ac:dyDescent="0.25">
      <c r="B83" s="75" t="s">
        <v>229</v>
      </c>
      <c r="C83" s="76">
        <v>15</v>
      </c>
      <c r="D83" t="s">
        <v>221</v>
      </c>
      <c r="G83" s="75" t="s">
        <v>392</v>
      </c>
      <c r="Q83" t="s">
        <v>222</v>
      </c>
      <c r="T83" s="245">
        <v>4</v>
      </c>
      <c r="U83" s="246">
        <v>0.1130952380952381</v>
      </c>
      <c r="V83" s="246">
        <v>0.12202380952380952</v>
      </c>
      <c r="W83" s="246">
        <v>0.13095238095238096</v>
      </c>
      <c r="X83" s="246">
        <v>0.13988095238095238</v>
      </c>
      <c r="Y83" s="246">
        <v>0.15773809523809523</v>
      </c>
      <c r="Z83" s="246">
        <v>0.17559523809523808</v>
      </c>
      <c r="AD83">
        <v>11</v>
      </c>
      <c r="AE83" s="186">
        <v>0.15025252525252525</v>
      </c>
      <c r="AF83" s="186">
        <v>0.15909090909090909</v>
      </c>
      <c r="AG83" s="186">
        <v>0.16792929292929293</v>
      </c>
      <c r="AH83" s="186">
        <v>0.18560606060606061</v>
      </c>
      <c r="AI83" s="186">
        <v>0.20328282828282829</v>
      </c>
    </row>
    <row r="84" spans="2:35" x14ac:dyDescent="0.25">
      <c r="G84" t="s">
        <v>348</v>
      </c>
      <c r="H84" s="63">
        <v>32</v>
      </c>
      <c r="Q84" t="s">
        <v>222</v>
      </c>
      <c r="AC84" t="s">
        <v>462</v>
      </c>
      <c r="AD84">
        <v>12</v>
      </c>
      <c r="AE84" s="186">
        <v>0.14756944444444445</v>
      </c>
      <c r="AF84" s="186">
        <v>0.15625</v>
      </c>
      <c r="AG84" s="186">
        <v>0.16493055555555555</v>
      </c>
      <c r="AH84" s="186">
        <v>0.18229166666666666</v>
      </c>
      <c r="AI84" s="186">
        <v>0.19965277777777779</v>
      </c>
    </row>
    <row r="85" spans="2:35" x14ac:dyDescent="0.25">
      <c r="B85" t="s">
        <v>230</v>
      </c>
      <c r="C85" s="273">
        <v>3.0720000000000001E-3</v>
      </c>
      <c r="D85" t="s">
        <v>226</v>
      </c>
      <c r="G85" t="s">
        <v>349</v>
      </c>
      <c r="H85" s="63">
        <v>40</v>
      </c>
      <c r="Q85" t="s">
        <v>222</v>
      </c>
      <c r="V85" t="s">
        <v>455</v>
      </c>
      <c r="AC85" t="s">
        <v>463</v>
      </c>
      <c r="AD85">
        <v>13</v>
      </c>
      <c r="AE85" s="186">
        <v>0.15438034188034189</v>
      </c>
      <c r="AF85" s="186">
        <v>0.16346153846153846</v>
      </c>
      <c r="AG85" s="186">
        <v>0.17254273504273504</v>
      </c>
      <c r="AH85" s="186">
        <v>0.19070512820512819</v>
      </c>
      <c r="AI85" s="186">
        <v>0.20886752136752137</v>
      </c>
    </row>
    <row r="86" spans="2:35" x14ac:dyDescent="0.25">
      <c r="B86" t="s">
        <v>375</v>
      </c>
      <c r="C86" s="187">
        <v>0</v>
      </c>
      <c r="G86" t="s">
        <v>350</v>
      </c>
      <c r="H86" s="63">
        <v>60</v>
      </c>
      <c r="Q86" t="s">
        <v>222</v>
      </c>
      <c r="T86" s="231" t="str">
        <f>+Dashboard!D6</f>
        <v>Busje</v>
      </c>
      <c r="U86">
        <v>2.5</v>
      </c>
      <c r="V86">
        <v>5</v>
      </c>
      <c r="W86">
        <v>7.5</v>
      </c>
      <c r="X86">
        <v>10</v>
      </c>
      <c r="Y86">
        <v>15</v>
      </c>
      <c r="Z86">
        <v>20</v>
      </c>
      <c r="AD86">
        <v>14</v>
      </c>
      <c r="AE86" s="186">
        <v>0.15178571428571427</v>
      </c>
      <c r="AF86" s="186">
        <v>0.16071428571428573</v>
      </c>
      <c r="AG86" s="186">
        <v>0.16964285714285715</v>
      </c>
      <c r="AH86" s="186">
        <v>0.1875</v>
      </c>
      <c r="AI86" s="186">
        <v>0.20535714285714285</v>
      </c>
    </row>
    <row r="87" spans="2:35" x14ac:dyDescent="0.25">
      <c r="B87" t="s">
        <v>280</v>
      </c>
      <c r="C87" s="83">
        <v>0.4</v>
      </c>
      <c r="G87" t="s">
        <v>208</v>
      </c>
      <c r="H87" s="181">
        <f>+H84*H85*H86/(100*100*100)</f>
        <v>7.6799999999999993E-2</v>
      </c>
      <c r="Q87" t="s">
        <v>222</v>
      </c>
      <c r="T87">
        <v>1</v>
      </c>
      <c r="U87" t="str">
        <f t="dataTable" ref="U87:Z93" dt2D="1" dtr="1" r1="C83" r2="C75" ca="1"/>
        <v>Busje</v>
      </c>
      <c r="V87" t="str">
        <v>Busje</v>
      </c>
      <c r="W87" t="str">
        <v>Busje</v>
      </c>
      <c r="X87" t="str">
        <v>Busje</v>
      </c>
      <c r="Y87" t="str">
        <v>Busje</v>
      </c>
      <c r="Z87" t="str">
        <v>Busje</v>
      </c>
      <c r="AD87">
        <v>15</v>
      </c>
      <c r="AE87" s="186">
        <v>0.14953703703703702</v>
      </c>
      <c r="AF87" s="186">
        <v>0.15833333333333333</v>
      </c>
      <c r="AG87" s="186">
        <v>0.16712962962962963</v>
      </c>
      <c r="AH87" s="186">
        <v>0.18472222222222223</v>
      </c>
      <c r="AI87" s="186">
        <v>0.20231481481481481</v>
      </c>
    </row>
    <row r="88" spans="2:35" x14ac:dyDescent="0.25">
      <c r="B88" t="s">
        <v>393</v>
      </c>
      <c r="C88" s="84">
        <v>30</v>
      </c>
      <c r="Q88" t="s">
        <v>222</v>
      </c>
      <c r="T88">
        <v>1.5</v>
      </c>
      <c r="U88" t="str">
        <v>Busje</v>
      </c>
      <c r="V88" t="str">
        <v>Busje</v>
      </c>
      <c r="W88" t="str">
        <v>Busje</v>
      </c>
      <c r="X88" t="str">
        <v>Busje</v>
      </c>
      <c r="Y88" t="str">
        <v>Busje</v>
      </c>
      <c r="Z88" t="str">
        <v>Busje</v>
      </c>
      <c r="AD88">
        <v>16</v>
      </c>
      <c r="AE88" s="186">
        <v>0.14756944444444445</v>
      </c>
      <c r="AF88" s="186">
        <v>0.15625</v>
      </c>
      <c r="AG88" s="186">
        <v>0.16493055555555555</v>
      </c>
      <c r="AH88" s="186">
        <v>0.18229166666666666</v>
      </c>
      <c r="AI88" s="186">
        <v>0.19965277777777779</v>
      </c>
    </row>
    <row r="89" spans="2:35" x14ac:dyDescent="0.25">
      <c r="B89" t="s">
        <v>281</v>
      </c>
      <c r="C89" s="83">
        <v>0.5</v>
      </c>
      <c r="Q89" t="s">
        <v>222</v>
      </c>
      <c r="T89">
        <v>2</v>
      </c>
      <c r="U89" t="str">
        <v>Busje</v>
      </c>
      <c r="V89" t="str">
        <v>Busje</v>
      </c>
      <c r="W89" t="str">
        <v>Busje</v>
      </c>
      <c r="X89" t="str">
        <v>Busje</v>
      </c>
      <c r="Y89" t="str">
        <v>Busje</v>
      </c>
      <c r="Z89" t="str">
        <v>Busje</v>
      </c>
      <c r="AD89">
        <v>17</v>
      </c>
      <c r="AE89" s="186">
        <v>0.15277777777777779</v>
      </c>
      <c r="AF89" s="186">
        <v>0.16176470588235295</v>
      </c>
      <c r="AG89" s="186">
        <v>0.17075163398692811</v>
      </c>
      <c r="AH89" s="186">
        <v>0.18872549019607843</v>
      </c>
      <c r="AI89" s="186">
        <v>0.20669934640522875</v>
      </c>
    </row>
    <row r="90" spans="2:35" x14ac:dyDescent="0.25">
      <c r="B90" t="s">
        <v>394</v>
      </c>
      <c r="C90" s="83">
        <v>30</v>
      </c>
      <c r="Q90" t="s">
        <v>222</v>
      </c>
      <c r="T90">
        <v>2.5</v>
      </c>
      <c r="U90" t="str">
        <v>Busje</v>
      </c>
      <c r="V90" t="str">
        <v>Busje</v>
      </c>
      <c r="W90" t="str">
        <v>Busje</v>
      </c>
      <c r="X90" t="str">
        <v>Busje</v>
      </c>
      <c r="Y90" t="str">
        <v>Busje</v>
      </c>
      <c r="Z90" t="str">
        <v>Busje</v>
      </c>
      <c r="AD90">
        <v>18</v>
      </c>
      <c r="AE90" s="186">
        <v>0.15084876543209877</v>
      </c>
      <c r="AF90" s="186">
        <v>0.15972222222222221</v>
      </c>
      <c r="AG90" s="186">
        <v>0.16859567901234568</v>
      </c>
      <c r="AH90" s="186">
        <v>0.18634259259259259</v>
      </c>
      <c r="AI90" s="186">
        <v>0.2040895061728395</v>
      </c>
    </row>
    <row r="91" spans="2:35" x14ac:dyDescent="0.25">
      <c r="B91" t="s">
        <v>282</v>
      </c>
      <c r="C91" s="83">
        <v>0.15</v>
      </c>
      <c r="Q91" t="s">
        <v>222</v>
      </c>
      <c r="T91">
        <v>3</v>
      </c>
      <c r="U91" t="str">
        <v>Busje</v>
      </c>
      <c r="V91" t="str">
        <v>Busje</v>
      </c>
      <c r="W91" t="str">
        <v>Busje</v>
      </c>
      <c r="X91" t="str">
        <v>Busje</v>
      </c>
      <c r="Y91" t="str">
        <v>Busje</v>
      </c>
      <c r="Z91" t="str">
        <v>Busje</v>
      </c>
      <c r="AD91">
        <v>19</v>
      </c>
      <c r="AE91" s="186">
        <v>0.14912280701754385</v>
      </c>
      <c r="AF91" s="186">
        <v>0.15789473684210525</v>
      </c>
      <c r="AG91" s="186">
        <v>0.16666666666666666</v>
      </c>
      <c r="AH91" s="186">
        <v>0.18421052631578946</v>
      </c>
      <c r="AI91" s="186">
        <v>0.20175438596491227</v>
      </c>
    </row>
    <row r="92" spans="2:35" x14ac:dyDescent="0.25">
      <c r="B92" t="s">
        <v>395</v>
      </c>
      <c r="C92" s="83">
        <v>30</v>
      </c>
      <c r="Q92" t="s">
        <v>222</v>
      </c>
      <c r="T92">
        <v>3.5</v>
      </c>
      <c r="U92" t="str">
        <v>Busje</v>
      </c>
      <c r="V92" t="str">
        <v>Busje</v>
      </c>
      <c r="W92" t="str">
        <v>Busje</v>
      </c>
      <c r="X92" t="str">
        <v>Busje</v>
      </c>
      <c r="Y92" t="str">
        <v>Busje</v>
      </c>
      <c r="Z92" t="str">
        <v>Busje</v>
      </c>
      <c r="AD92">
        <v>20</v>
      </c>
      <c r="AE92" s="186">
        <v>0.14756944444444445</v>
      </c>
      <c r="AF92" s="186">
        <v>0.15625</v>
      </c>
      <c r="AG92" s="186">
        <v>0.16493055555555555</v>
      </c>
      <c r="AH92" s="186">
        <v>0.18229166666666666</v>
      </c>
      <c r="AI92" s="186">
        <v>0.19965277777777779</v>
      </c>
    </row>
    <row r="93" spans="2:35" x14ac:dyDescent="0.25">
      <c r="Q93" t="s">
        <v>222</v>
      </c>
      <c r="T93">
        <v>4</v>
      </c>
      <c r="U93" t="str">
        <v>Busje</v>
      </c>
      <c r="V93" t="str">
        <v>Busje</v>
      </c>
      <c r="W93" t="str">
        <v>Busje</v>
      </c>
      <c r="X93" t="str">
        <v>Busje</v>
      </c>
      <c r="Y93" t="str">
        <v>Busje</v>
      </c>
      <c r="Z93" t="str">
        <v>Busje</v>
      </c>
      <c r="AD93">
        <v>21</v>
      </c>
      <c r="AE93" s="186">
        <v>0.15178571428571427</v>
      </c>
      <c r="AF93" s="186">
        <v>0.16071428571428573</v>
      </c>
      <c r="AG93" s="186">
        <v>0.16964285714285715</v>
      </c>
      <c r="AH93" s="186">
        <v>0.1875</v>
      </c>
      <c r="AI93" s="186">
        <v>0.20535714285714285</v>
      </c>
    </row>
    <row r="94" spans="2:35" x14ac:dyDescent="0.25">
      <c r="B94" s="149" t="s">
        <v>314</v>
      </c>
      <c r="C94" s="97">
        <v>2</v>
      </c>
      <c r="Q94" t="s">
        <v>222</v>
      </c>
      <c r="AD94">
        <v>22</v>
      </c>
      <c r="AE94" s="186">
        <v>0.15025252525252525</v>
      </c>
      <c r="AF94" s="186">
        <v>0.15909090909090909</v>
      </c>
      <c r="AG94" s="186">
        <v>0.16792929292929293</v>
      </c>
      <c r="AH94" s="186">
        <v>0.18560606060606061</v>
      </c>
      <c r="AI94" s="186">
        <v>0.20328282828282829</v>
      </c>
    </row>
    <row r="95" spans="2:35" x14ac:dyDescent="0.25">
      <c r="Q95" t="s">
        <v>222</v>
      </c>
      <c r="AD95">
        <v>23</v>
      </c>
      <c r="AE95" s="186">
        <v>0.14885265700483091</v>
      </c>
      <c r="AF95" s="186">
        <v>0.15760869565217392</v>
      </c>
      <c r="AG95" s="186">
        <v>0.1663647342995169</v>
      </c>
      <c r="AH95" s="186">
        <v>0.18387681159420291</v>
      </c>
      <c r="AI95" s="186">
        <v>0.2013888888888889</v>
      </c>
    </row>
    <row r="96" spans="2:35" x14ac:dyDescent="0.25">
      <c r="Q96" t="s">
        <v>222</v>
      </c>
      <c r="AD96">
        <v>24</v>
      </c>
      <c r="AE96" s="186">
        <v>0.14756944444444445</v>
      </c>
      <c r="AF96" s="186">
        <v>0.15625</v>
      </c>
      <c r="AG96" s="186">
        <v>0.16493055555555555</v>
      </c>
      <c r="AH96" s="186">
        <v>0.18229166666666666</v>
      </c>
      <c r="AI96" s="186">
        <v>0.19965277777777779</v>
      </c>
    </row>
    <row r="97" spans="2:35" x14ac:dyDescent="0.25">
      <c r="B97" t="s">
        <v>300</v>
      </c>
      <c r="C97" s="63">
        <v>15</v>
      </c>
      <c r="D97" t="s">
        <v>297</v>
      </c>
      <c r="Q97" t="s">
        <v>296</v>
      </c>
      <c r="AD97">
        <v>25</v>
      </c>
      <c r="AE97" s="186">
        <v>0.15111111111111111</v>
      </c>
      <c r="AF97" s="186">
        <v>0.16</v>
      </c>
      <c r="AG97" s="186">
        <v>0.16888888888888889</v>
      </c>
      <c r="AH97" s="186">
        <v>0.18666666666666668</v>
      </c>
      <c r="AI97" s="186">
        <v>0.20444444444444446</v>
      </c>
    </row>
    <row r="98" spans="2:35" x14ac:dyDescent="0.25">
      <c r="B98" t="s">
        <v>301</v>
      </c>
      <c r="C98" s="63">
        <v>25</v>
      </c>
      <c r="D98" t="s">
        <v>297</v>
      </c>
      <c r="Q98" t="s">
        <v>296</v>
      </c>
    </row>
    <row r="99" spans="2:35" x14ac:dyDescent="0.25">
      <c r="B99" t="s">
        <v>315</v>
      </c>
      <c r="C99" s="63">
        <v>1.5</v>
      </c>
      <c r="D99" t="s">
        <v>228</v>
      </c>
      <c r="Q99" t="s">
        <v>296</v>
      </c>
    </row>
    <row r="100" spans="2:35" x14ac:dyDescent="0.25">
      <c r="B100" t="s">
        <v>487</v>
      </c>
      <c r="C100" s="83">
        <v>0</v>
      </c>
      <c r="Q100" t="s">
        <v>296</v>
      </c>
    </row>
    <row r="101" spans="2:35" x14ac:dyDescent="0.25">
      <c r="B101" t="s">
        <v>298</v>
      </c>
      <c r="C101" s="83">
        <v>30</v>
      </c>
      <c r="Q101" t="s">
        <v>296</v>
      </c>
    </row>
    <row r="102" spans="2:35" x14ac:dyDescent="0.25">
      <c r="B102" t="s">
        <v>446</v>
      </c>
      <c r="C102" s="63" t="s">
        <v>326</v>
      </c>
      <c r="Q102" t="s">
        <v>296</v>
      </c>
    </row>
    <row r="103" spans="2:35" x14ac:dyDescent="0.25">
      <c r="Q103" t="s">
        <v>307</v>
      </c>
    </row>
    <row r="104" spans="2:35" x14ac:dyDescent="0.25">
      <c r="B104" t="s">
        <v>362</v>
      </c>
      <c r="C104" s="161">
        <v>1.2</v>
      </c>
      <c r="Q104" t="s">
        <v>307</v>
      </c>
    </row>
    <row r="105" spans="2:35" x14ac:dyDescent="0.25">
      <c r="B105" t="s">
        <v>363</v>
      </c>
      <c r="C105" s="187">
        <v>0.1</v>
      </c>
      <c r="Q105" t="s">
        <v>307</v>
      </c>
      <c r="V105" t="s">
        <v>459</v>
      </c>
    </row>
    <row r="106" spans="2:35" x14ac:dyDescent="0.25">
      <c r="Q106" t="s">
        <v>307</v>
      </c>
    </row>
    <row r="107" spans="2:35" x14ac:dyDescent="0.25">
      <c r="Q107" t="s">
        <v>307</v>
      </c>
      <c r="U107" s="236">
        <f>+Hub!J8+Hub!J10</f>
        <v>0.68900396825396837</v>
      </c>
      <c r="V107" s="239">
        <v>22.5</v>
      </c>
      <c r="W107" s="239">
        <v>24.5</v>
      </c>
      <c r="X107" s="239">
        <v>26.5</v>
      </c>
      <c r="Y107" s="239">
        <v>28.5</v>
      </c>
      <c r="Z107" s="239">
        <v>30.5</v>
      </c>
      <c r="AA107" s="239">
        <v>32.5</v>
      </c>
      <c r="AB107" s="239">
        <v>34.5</v>
      </c>
      <c r="AC107" s="239">
        <v>36.5</v>
      </c>
    </row>
    <row r="108" spans="2:35" x14ac:dyDescent="0.25">
      <c r="B108" t="s">
        <v>308</v>
      </c>
      <c r="C108" s="84">
        <v>28.5</v>
      </c>
      <c r="Q108" t="s">
        <v>307</v>
      </c>
      <c r="U108" s="238">
        <v>0.6</v>
      </c>
      <c r="V108" s="186">
        <f t="dataTable" ref="V108:AC113" dt2D="1" dtr="1" r1="C108" r2="C104" ca="1"/>
        <v>0.30950396825396831</v>
      </c>
      <c r="W108" s="186">
        <v>0.33150396825396827</v>
      </c>
      <c r="X108" s="186">
        <v>0.35350396825396829</v>
      </c>
      <c r="Y108" s="186">
        <v>0.37550396825396831</v>
      </c>
      <c r="Z108" s="186">
        <v>0.39750396825396828</v>
      </c>
      <c r="AA108" s="186">
        <v>0.4195039682539683</v>
      </c>
      <c r="AB108" s="186">
        <v>0.44150396825396832</v>
      </c>
      <c r="AC108" s="186">
        <v>0.46350396825396828</v>
      </c>
    </row>
    <row r="109" spans="2:35" x14ac:dyDescent="0.25">
      <c r="Q109" t="s">
        <v>307</v>
      </c>
      <c r="U109" s="238">
        <v>0.8</v>
      </c>
      <c r="V109" s="186">
        <v>0.39200396825396827</v>
      </c>
      <c r="W109" s="186">
        <v>0.42133730158730165</v>
      </c>
      <c r="X109" s="186">
        <v>0.45067063492063497</v>
      </c>
      <c r="Y109" s="186">
        <v>0.48000396825396829</v>
      </c>
      <c r="Z109" s="186">
        <v>0.50933730158730173</v>
      </c>
      <c r="AA109" s="186">
        <v>0.53867063492063494</v>
      </c>
      <c r="AB109" s="186">
        <v>0.56800396825396826</v>
      </c>
      <c r="AC109" s="186">
        <v>0.59733730158730169</v>
      </c>
    </row>
    <row r="110" spans="2:35" x14ac:dyDescent="0.25">
      <c r="C110" s="78"/>
      <c r="Q110" t="s">
        <v>307</v>
      </c>
      <c r="T110" t="s">
        <v>456</v>
      </c>
      <c r="U110" s="238">
        <v>1</v>
      </c>
      <c r="V110" s="186">
        <v>0.47450396825396829</v>
      </c>
      <c r="W110" s="186">
        <v>0.51117063492063486</v>
      </c>
      <c r="X110" s="186">
        <v>0.54783730158730159</v>
      </c>
      <c r="Y110" s="186">
        <v>0.58450396825396833</v>
      </c>
      <c r="Z110" s="186">
        <v>0.62117063492063496</v>
      </c>
      <c r="AA110" s="186">
        <v>0.65783730158730158</v>
      </c>
      <c r="AB110" s="186">
        <v>0.69450396825396832</v>
      </c>
      <c r="AC110" s="186">
        <v>0.73117063492063494</v>
      </c>
    </row>
    <row r="111" spans="2:35" x14ac:dyDescent="0.25">
      <c r="B111" t="s">
        <v>367</v>
      </c>
      <c r="C111" s="63">
        <v>5</v>
      </c>
      <c r="Q111" t="s">
        <v>307</v>
      </c>
      <c r="T111" t="s">
        <v>457</v>
      </c>
      <c r="U111" s="238">
        <v>1.2</v>
      </c>
      <c r="V111" s="186">
        <v>0.55700396825396825</v>
      </c>
      <c r="W111" s="186">
        <v>0.60100396825396829</v>
      </c>
      <c r="X111" s="186">
        <v>0.64500396825396833</v>
      </c>
      <c r="Y111" s="237">
        <v>0.68900396825396837</v>
      </c>
      <c r="Z111" s="186">
        <v>0.7330039682539683</v>
      </c>
      <c r="AA111" s="186">
        <v>0.77700396825396834</v>
      </c>
      <c r="AB111" s="186">
        <v>0.82100396825396837</v>
      </c>
      <c r="AC111" s="186">
        <v>0.8650039682539683</v>
      </c>
    </row>
    <row r="112" spans="2:35" x14ac:dyDescent="0.25">
      <c r="B112" t="s">
        <v>368</v>
      </c>
      <c r="C112" s="83">
        <v>50</v>
      </c>
      <c r="Q112" t="s">
        <v>307</v>
      </c>
      <c r="T112" t="s">
        <v>458</v>
      </c>
      <c r="U112" s="238">
        <v>1.4</v>
      </c>
      <c r="V112" s="186">
        <v>0.63950396825396816</v>
      </c>
      <c r="W112" s="186">
        <v>0.6908373015873015</v>
      </c>
      <c r="X112" s="186">
        <v>0.74217063492063484</v>
      </c>
      <c r="Y112" s="186">
        <v>0.79350396825396807</v>
      </c>
      <c r="Z112" s="186">
        <v>0.84483730158730153</v>
      </c>
      <c r="AA112" s="186">
        <v>0.89617063492063487</v>
      </c>
      <c r="AB112" s="186">
        <v>0.9475039682539681</v>
      </c>
      <c r="AC112" s="186">
        <v>0.99883730158730144</v>
      </c>
    </row>
    <row r="113" spans="2:29" x14ac:dyDescent="0.25">
      <c r="Q113" t="s">
        <v>307</v>
      </c>
      <c r="U113" s="238">
        <v>1.6</v>
      </c>
      <c r="V113" s="186">
        <v>0.72200396825396829</v>
      </c>
      <c r="W113" s="186">
        <v>0.78067063492063504</v>
      </c>
      <c r="X113" s="186">
        <v>0.83933730158730169</v>
      </c>
      <c r="Y113" s="186">
        <v>0.89800396825396833</v>
      </c>
      <c r="Z113" s="186">
        <v>0.95667063492063509</v>
      </c>
      <c r="AA113" s="186">
        <v>1.0153373015873017</v>
      </c>
      <c r="AB113" s="186">
        <v>1.0740039682539684</v>
      </c>
      <c r="AC113" s="186">
        <v>1.1326706349206352</v>
      </c>
    </row>
    <row r="114" spans="2:29" x14ac:dyDescent="0.25">
      <c r="B114" t="s">
        <v>365</v>
      </c>
      <c r="C114" s="84">
        <v>2.15</v>
      </c>
      <c r="Q114" t="s">
        <v>307</v>
      </c>
    </row>
    <row r="115" spans="2:29" x14ac:dyDescent="0.25">
      <c r="B115" t="s">
        <v>364</v>
      </c>
      <c r="Q115" t="s">
        <v>307</v>
      </c>
    </row>
    <row r="116" spans="2:29" x14ac:dyDescent="0.25">
      <c r="Q116" t="s">
        <v>307</v>
      </c>
    </row>
    <row r="117" spans="2:29" x14ac:dyDescent="0.25">
      <c r="Q117" t="s">
        <v>307</v>
      </c>
    </row>
    <row r="118" spans="2:29" x14ac:dyDescent="0.25">
      <c r="Q118" t="s">
        <v>307</v>
      </c>
    </row>
    <row r="119" spans="2:29" x14ac:dyDescent="0.25">
      <c r="Q119" t="s">
        <v>307</v>
      </c>
    </row>
    <row r="120" spans="2:29" x14ac:dyDescent="0.25">
      <c r="Q120" t="s">
        <v>307</v>
      </c>
    </row>
    <row r="121" spans="2:29" x14ac:dyDescent="0.25">
      <c r="Q121" t="s">
        <v>307</v>
      </c>
    </row>
    <row r="131" spans="3:10" x14ac:dyDescent="0.25">
      <c r="C131" t="s">
        <v>251</v>
      </c>
    </row>
    <row r="132" spans="3:10" ht="15.75" thickBot="1" x14ac:dyDescent="0.3">
      <c r="D132">
        <f ca="1">+Tuinders!S25</f>
        <v>1.3020833333333334E-2</v>
      </c>
      <c r="E132" t="str">
        <f>+Tuinders!P12</f>
        <v>Busje</v>
      </c>
      <c r="G132" t="s">
        <v>386</v>
      </c>
      <c r="J132" s="196">
        <f ca="1">+Tuinders!S25</f>
        <v>1.3020833333333334E-2</v>
      </c>
    </row>
    <row r="133" spans="3:10" x14ac:dyDescent="0.25">
      <c r="C133">
        <v>5</v>
      </c>
      <c r="D133" s="184">
        <f t="dataTable" ref="D133:E142" dt2D="0" dtr="0" r1="C36" ca="1"/>
        <v>1.8229166666666668E-2</v>
      </c>
      <c r="E133" t="str">
        <v>Busje</v>
      </c>
      <c r="G133" s="150"/>
      <c r="H133" s="151"/>
      <c r="I133" s="63">
        <v>15</v>
      </c>
      <c r="J133" s="184">
        <f t="dataTable" ref="J133:J138" dt2D="0" dtr="0" r1="C69" ca="1"/>
        <v>1.3020833333333334E-2</v>
      </c>
    </row>
    <row r="134" spans="3:10" x14ac:dyDescent="0.25">
      <c r="C134">
        <v>10</v>
      </c>
      <c r="D134" s="184">
        <v>9.1145833333333339E-3</v>
      </c>
      <c r="E134" t="str">
        <v>Busje</v>
      </c>
      <c r="G134" s="197"/>
      <c r="H134" s="198"/>
      <c r="I134" s="63">
        <v>18</v>
      </c>
      <c r="J134" s="184">
        <v>1.4136904761904762E-2</v>
      </c>
    </row>
    <row r="135" spans="3:10" x14ac:dyDescent="0.25">
      <c r="C135">
        <v>15</v>
      </c>
      <c r="D135" s="184">
        <v>6.076388888888889E-3</v>
      </c>
      <c r="E135" t="str">
        <v>Busje</v>
      </c>
      <c r="G135" s="197" t="s">
        <v>385</v>
      </c>
      <c r="H135" s="198"/>
      <c r="I135" s="63">
        <v>21</v>
      </c>
      <c r="J135" s="184">
        <v>1.525297619047619E-2</v>
      </c>
    </row>
    <row r="136" spans="3:10" x14ac:dyDescent="0.25">
      <c r="C136">
        <v>20</v>
      </c>
      <c r="D136" s="184">
        <v>4.557291666666667E-3</v>
      </c>
      <c r="E136" t="str">
        <v>Busje</v>
      </c>
      <c r="G136" s="197"/>
      <c r="H136" s="198"/>
      <c r="I136" s="63">
        <v>24</v>
      </c>
      <c r="J136" s="184">
        <v>1.636904761904762E-2</v>
      </c>
    </row>
    <row r="137" spans="3:10" x14ac:dyDescent="0.25">
      <c r="C137">
        <v>25</v>
      </c>
      <c r="D137" s="184">
        <v>3.6458333333333334E-3</v>
      </c>
      <c r="E137" t="str">
        <v>Busje</v>
      </c>
      <c r="G137" s="197"/>
      <c r="H137" s="198"/>
      <c r="I137" s="63">
        <v>27</v>
      </c>
      <c r="J137" s="184">
        <v>1.7485119047619048E-2</v>
      </c>
    </row>
    <row r="138" spans="3:10" ht="15.75" thickBot="1" x14ac:dyDescent="0.3">
      <c r="C138">
        <v>30</v>
      </c>
      <c r="D138" s="184">
        <v>3.0381944444444445E-3</v>
      </c>
      <c r="E138" t="str">
        <v>Busje</v>
      </c>
      <c r="G138" s="153"/>
      <c r="H138" s="154"/>
      <c r="I138" s="63">
        <v>30</v>
      </c>
      <c r="J138" s="184">
        <v>1.8601190476190476E-2</v>
      </c>
    </row>
    <row r="139" spans="3:10" x14ac:dyDescent="0.25">
      <c r="C139">
        <v>35</v>
      </c>
      <c r="D139" s="184">
        <v>3.410218253968254E-3</v>
      </c>
      <c r="E139" t="str">
        <v>Bakwagen</v>
      </c>
    </row>
    <row r="140" spans="3:10" x14ac:dyDescent="0.25">
      <c r="C140">
        <v>40</v>
      </c>
      <c r="D140" s="184">
        <v>2.983940972222222E-3</v>
      </c>
      <c r="E140" t="str">
        <v>Bakwagen</v>
      </c>
    </row>
    <row r="141" spans="3:10" x14ac:dyDescent="0.25">
      <c r="C141">
        <v>45</v>
      </c>
      <c r="D141" s="184">
        <v>2.652391975308642E-3</v>
      </c>
      <c r="E141" t="str">
        <v>Bakwagen</v>
      </c>
    </row>
    <row r="142" spans="3:10" x14ac:dyDescent="0.25">
      <c r="C142">
        <v>50</v>
      </c>
      <c r="D142" s="184">
        <v>2.387152777777778E-3</v>
      </c>
      <c r="E142" t="str">
        <v>Bakwagen</v>
      </c>
    </row>
    <row r="145" spans="2:13" x14ac:dyDescent="0.25">
      <c r="G145" t="s">
        <v>439</v>
      </c>
    </row>
    <row r="146" spans="2:13" x14ac:dyDescent="0.25">
      <c r="K146" t="s">
        <v>440</v>
      </c>
    </row>
    <row r="147" spans="2:13" ht="15.75" thickBot="1" x14ac:dyDescent="0.3">
      <c r="J147" s="223">
        <f>+Hub!J8</f>
        <v>0.62700000000000011</v>
      </c>
      <c r="K147" s="223">
        <f ca="1">+Dashboard!Y11</f>
        <v>3.0395248015873015</v>
      </c>
    </row>
    <row r="148" spans="2:13" x14ac:dyDescent="0.25">
      <c r="G148" s="150" t="s">
        <v>362</v>
      </c>
      <c r="H148" s="152"/>
      <c r="I148" s="224">
        <v>0.6</v>
      </c>
      <c r="J148" s="80">
        <f t="dataTable" ref="J148:K152" dt2D="0" dtr="0" r1="C104" ca="1"/>
        <v>0.31350000000000006</v>
      </c>
      <c r="K148" s="80">
        <v>2.7260248015873016</v>
      </c>
    </row>
    <row r="149" spans="2:13" x14ac:dyDescent="0.25">
      <c r="G149" s="197"/>
      <c r="H149" s="199"/>
      <c r="I149" s="224">
        <v>0.8</v>
      </c>
      <c r="J149" s="80">
        <v>0.41800000000000004</v>
      </c>
      <c r="K149" s="80">
        <v>2.8305248015873015</v>
      </c>
    </row>
    <row r="150" spans="2:13" x14ac:dyDescent="0.25">
      <c r="B150" t="s">
        <v>429</v>
      </c>
      <c r="C150" s="80">
        <f ca="1">+Dashboard!D9</f>
        <v>1.3020833333333334E-2</v>
      </c>
      <c r="G150" s="197"/>
      <c r="H150" s="199"/>
      <c r="I150" s="224">
        <v>1</v>
      </c>
      <c r="J150" s="80">
        <v>0.52250000000000008</v>
      </c>
      <c r="K150" s="80">
        <v>2.9350248015873017</v>
      </c>
    </row>
    <row r="151" spans="2:13" x14ac:dyDescent="0.25">
      <c r="B151" t="s">
        <v>430</v>
      </c>
      <c r="C151" s="80">
        <f>+Dashboard!I9</f>
        <v>0.68900396825396837</v>
      </c>
      <c r="G151" s="197"/>
      <c r="H151" s="199"/>
      <c r="I151" s="224">
        <v>1.2</v>
      </c>
      <c r="J151" s="80">
        <v>0.62700000000000011</v>
      </c>
      <c r="K151" s="80">
        <v>3.0395248015873015</v>
      </c>
    </row>
    <row r="152" spans="2:13" ht="15.75" thickBot="1" x14ac:dyDescent="0.3">
      <c r="B152" t="s">
        <v>431</v>
      </c>
      <c r="C152" s="80">
        <f>+Dashboard!N9</f>
        <v>0.1875</v>
      </c>
      <c r="G152" s="153"/>
      <c r="H152" s="155"/>
      <c r="I152" s="224">
        <v>1.4</v>
      </c>
      <c r="J152" s="80">
        <v>0.73149999999999982</v>
      </c>
      <c r="K152" s="80">
        <v>3.1440248015873014</v>
      </c>
    </row>
    <row r="153" spans="2:13" x14ac:dyDescent="0.25">
      <c r="B153" t="s">
        <v>474</v>
      </c>
      <c r="C153" s="80">
        <f>+Dashboard!S9</f>
        <v>0</v>
      </c>
    </row>
    <row r="154" spans="2:13" ht="15.75" thickBot="1" x14ac:dyDescent="0.3">
      <c r="B154" t="s">
        <v>432</v>
      </c>
      <c r="C154" s="222">
        <f>+Dashboard!Y5</f>
        <v>2.15</v>
      </c>
      <c r="D154" s="154"/>
    </row>
    <row r="155" spans="2:13" x14ac:dyDescent="0.25">
      <c r="B155" t="s">
        <v>433</v>
      </c>
      <c r="C155" s="78">
        <f ca="1">Dashboard!Y11</f>
        <v>3.0395248015873015</v>
      </c>
    </row>
    <row r="159" spans="2:13" x14ac:dyDescent="0.25">
      <c r="G159" t="s">
        <v>441</v>
      </c>
      <c r="K159" t="s">
        <v>440</v>
      </c>
    </row>
    <row r="160" spans="2:13" x14ac:dyDescent="0.25">
      <c r="J160" s="80">
        <f>+'Final mile'!D51</f>
        <v>0.1875</v>
      </c>
      <c r="K160" s="223">
        <f ca="1">+Dashboard!Y11</f>
        <v>3.0395248015873015</v>
      </c>
      <c r="M160" t="s">
        <v>443</v>
      </c>
    </row>
    <row r="161" spans="7:13" x14ac:dyDescent="0.25">
      <c r="I161" s="225">
        <v>1</v>
      </c>
      <c r="J161" s="184">
        <f t="dataTable" ref="J161:K171" dt2D="0" dtr="0" r1="C77" ca="1"/>
        <v>0.1875</v>
      </c>
      <c r="K161" s="80">
        <v>3.0395248015873015</v>
      </c>
      <c r="M161" s="226">
        <f>+J161/K161</f>
        <v>6.168727424171163E-2</v>
      </c>
    </row>
    <row r="162" spans="7:13" x14ac:dyDescent="0.25">
      <c r="I162" s="225">
        <v>1.5</v>
      </c>
      <c r="J162" s="184">
        <v>0.1875</v>
      </c>
      <c r="K162" s="80">
        <v>3.0395248015873015</v>
      </c>
      <c r="M162" s="226">
        <f t="shared" ref="M162:M171" si="0">+J162/K162</f>
        <v>6.168727424171163E-2</v>
      </c>
    </row>
    <row r="163" spans="7:13" x14ac:dyDescent="0.25">
      <c r="G163" t="s">
        <v>224</v>
      </c>
      <c r="I163" s="225">
        <v>2</v>
      </c>
      <c r="J163" s="184">
        <v>0.1875</v>
      </c>
      <c r="K163" s="80">
        <v>3.0395248015873015</v>
      </c>
      <c r="M163" s="226">
        <f t="shared" si="0"/>
        <v>6.168727424171163E-2</v>
      </c>
    </row>
    <row r="164" spans="7:13" x14ac:dyDescent="0.25">
      <c r="I164" s="225">
        <v>2.5</v>
      </c>
      <c r="J164" s="184">
        <v>0.17410714285714285</v>
      </c>
      <c r="K164" s="80">
        <v>3.0261319444444443</v>
      </c>
      <c r="M164" s="226">
        <f t="shared" si="0"/>
        <v>5.7534551055111544E-2</v>
      </c>
    </row>
    <row r="165" spans="7:13" x14ac:dyDescent="0.25">
      <c r="G165" t="s">
        <v>442</v>
      </c>
      <c r="I165" s="225">
        <v>3</v>
      </c>
      <c r="J165" s="184">
        <v>0.1875</v>
      </c>
      <c r="K165" s="80">
        <v>3.0395248015873015</v>
      </c>
      <c r="M165" s="226">
        <f t="shared" si="0"/>
        <v>6.168727424171163E-2</v>
      </c>
    </row>
    <row r="166" spans="7:13" x14ac:dyDescent="0.25">
      <c r="I166" s="225">
        <v>3.5</v>
      </c>
      <c r="J166" s="184">
        <v>0.12755102040816324</v>
      </c>
      <c r="K166" s="80">
        <v>2.9795758219954651</v>
      </c>
      <c r="M166" s="226">
        <f t="shared" si="0"/>
        <v>4.2808449265352301E-2</v>
      </c>
    </row>
    <row r="167" spans="7:13" x14ac:dyDescent="0.25">
      <c r="I167" s="225">
        <v>4</v>
      </c>
      <c r="J167" s="184">
        <v>0.11904761904761904</v>
      </c>
      <c r="K167" s="80">
        <v>2.9710724206349206</v>
      </c>
      <c r="M167" s="226">
        <f t="shared" si="0"/>
        <v>4.0068905160574465E-2</v>
      </c>
    </row>
    <row r="168" spans="7:13" x14ac:dyDescent="0.25">
      <c r="I168" s="225">
        <v>4.5</v>
      </c>
      <c r="J168" s="184">
        <v>0.16534391534391532</v>
      </c>
      <c r="K168" s="80">
        <v>3.0173687169312169</v>
      </c>
      <c r="M168" s="226">
        <f t="shared" si="0"/>
        <v>5.4797385024948693E-2</v>
      </c>
    </row>
    <row r="169" spans="7:13" x14ac:dyDescent="0.25">
      <c r="I169" s="225">
        <v>5</v>
      </c>
      <c r="J169" s="184">
        <v>0.15476190476190477</v>
      </c>
      <c r="K169" s="80">
        <v>3.0067867063492066</v>
      </c>
      <c r="M169" s="226">
        <f t="shared" si="0"/>
        <v>5.1470862377802067E-2</v>
      </c>
    </row>
    <row r="170" spans="7:13" x14ac:dyDescent="0.25">
      <c r="I170" s="225">
        <v>5.5</v>
      </c>
      <c r="J170" s="184">
        <v>0.14610389610389612</v>
      </c>
      <c r="K170" s="80">
        <v>2.9981286976911976</v>
      </c>
      <c r="M170" s="226">
        <f t="shared" si="0"/>
        <v>4.8731695946344127E-2</v>
      </c>
    </row>
    <row r="171" spans="7:13" x14ac:dyDescent="0.25">
      <c r="I171" s="225">
        <v>6</v>
      </c>
      <c r="J171" s="184">
        <v>0.1388888888888889</v>
      </c>
      <c r="K171" s="80">
        <v>2.9909136904761904</v>
      </c>
      <c r="M171" s="226">
        <f t="shared" si="0"/>
        <v>4.643694310910592E-2</v>
      </c>
    </row>
    <row r="173" spans="7:13" x14ac:dyDescent="0.25">
      <c r="J173" s="75" t="s">
        <v>444</v>
      </c>
      <c r="K173" t="s">
        <v>445</v>
      </c>
    </row>
    <row r="174" spans="7:13" x14ac:dyDescent="0.25">
      <c r="J174" s="184">
        <f ca="1">+Tuinders!S25</f>
        <v>1.3020833333333334E-2</v>
      </c>
      <c r="K174" t="str">
        <f>+Tuinders!P12</f>
        <v>Busje</v>
      </c>
      <c r="L174" s="228">
        <f ca="1">+DB_logistieke_kosten</f>
        <v>0.88952480158730174</v>
      </c>
    </row>
    <row r="175" spans="7:13" x14ac:dyDescent="0.25">
      <c r="I175" s="63">
        <v>5</v>
      </c>
      <c r="J175" s="227">
        <f t="dataTable" ref="J175:L194" dt2D="0" dtr="0" r1="C36" ca="1"/>
        <v>1.8229166666666668E-2</v>
      </c>
      <c r="K175" t="str">
        <v>Busje</v>
      </c>
      <c r="L175" s="227">
        <v>0.93620138888888882</v>
      </c>
    </row>
    <row r="176" spans="7:13" x14ac:dyDescent="0.25">
      <c r="I176" s="63">
        <v>6</v>
      </c>
      <c r="J176" s="227">
        <v>1.5190972222222222E-2</v>
      </c>
      <c r="K176" t="str">
        <v>Busje</v>
      </c>
      <c r="L176" s="227">
        <v>0.90897337962962943</v>
      </c>
    </row>
    <row r="177" spans="7:12" x14ac:dyDescent="0.25">
      <c r="G177" t="s">
        <v>251</v>
      </c>
      <c r="I177" s="63">
        <v>7</v>
      </c>
      <c r="J177" s="227">
        <v>1.3020833333333334E-2</v>
      </c>
      <c r="K177" t="str">
        <v>Busje</v>
      </c>
      <c r="L177" s="227">
        <v>0.88952480158730174</v>
      </c>
    </row>
    <row r="178" spans="7:12" x14ac:dyDescent="0.25">
      <c r="I178" s="63">
        <v>8</v>
      </c>
      <c r="J178" s="227">
        <v>1.1393229166666666E-2</v>
      </c>
      <c r="K178" t="str">
        <v>Busje</v>
      </c>
      <c r="L178" s="227">
        <v>0.87493836805555547</v>
      </c>
    </row>
    <row r="179" spans="7:12" x14ac:dyDescent="0.25">
      <c r="I179" s="63">
        <v>9</v>
      </c>
      <c r="J179" s="227">
        <v>1.0127314814814815E-2</v>
      </c>
      <c r="K179" t="str">
        <v>Busje</v>
      </c>
      <c r="L179" s="227">
        <v>0.87979706790123446</v>
      </c>
    </row>
    <row r="180" spans="7:12" x14ac:dyDescent="0.25">
      <c r="I180" s="63">
        <v>10</v>
      </c>
      <c r="J180" s="227">
        <v>9.1145833333333339E-3</v>
      </c>
      <c r="K180" t="str">
        <v>Busje</v>
      </c>
      <c r="L180" s="227">
        <v>0.86910069444444449</v>
      </c>
    </row>
    <row r="181" spans="7:12" x14ac:dyDescent="0.25">
      <c r="I181" s="63">
        <v>12</v>
      </c>
      <c r="J181" s="227">
        <v>7.595486111111111E-3</v>
      </c>
      <c r="K181" t="str">
        <v>Busje</v>
      </c>
      <c r="L181" s="227">
        <v>0.85305613425925919</v>
      </c>
    </row>
    <row r="182" spans="7:12" x14ac:dyDescent="0.25">
      <c r="I182" s="63">
        <v>14</v>
      </c>
      <c r="J182" s="227">
        <v>6.510416666666667E-3</v>
      </c>
      <c r="K182" t="str">
        <v>Busje</v>
      </c>
      <c r="L182" s="227">
        <v>0.85201240079365081</v>
      </c>
    </row>
    <row r="183" spans="7:12" x14ac:dyDescent="0.25">
      <c r="I183" s="63">
        <v>16</v>
      </c>
      <c r="J183" s="227">
        <v>5.696614583333333E-3</v>
      </c>
      <c r="K183" t="str">
        <v>Busje</v>
      </c>
      <c r="L183" s="227">
        <v>0.84211501736111116</v>
      </c>
    </row>
    <row r="184" spans="7:12" x14ac:dyDescent="0.25">
      <c r="I184" s="63">
        <v>18</v>
      </c>
      <c r="J184" s="227">
        <v>5.0636574074074073E-3</v>
      </c>
      <c r="K184" t="str">
        <v>Busje</v>
      </c>
      <c r="L184" s="227">
        <v>0.84251890432098764</v>
      </c>
    </row>
    <row r="185" spans="7:12" x14ac:dyDescent="0.25">
      <c r="I185" s="63">
        <v>20</v>
      </c>
      <c r="J185" s="227">
        <v>4.557291666666667E-3</v>
      </c>
      <c r="K185" t="str">
        <v>Busje</v>
      </c>
      <c r="L185" s="227">
        <v>0.8355503472222221</v>
      </c>
    </row>
    <row r="186" spans="7:12" x14ac:dyDescent="0.25">
      <c r="I186" s="63">
        <v>22</v>
      </c>
      <c r="J186" s="227">
        <v>4.142992424242424E-3</v>
      </c>
      <c r="K186" t="str">
        <v>Busje</v>
      </c>
      <c r="L186" s="227">
        <v>0.83647758838383846</v>
      </c>
    </row>
    <row r="187" spans="7:12" x14ac:dyDescent="0.25">
      <c r="I187" s="63">
        <v>24</v>
      </c>
      <c r="J187" s="227">
        <v>3.7977430555555555E-3</v>
      </c>
      <c r="K187" t="str">
        <v>Busje</v>
      </c>
      <c r="L187" s="227">
        <v>0.8311739004629628</v>
      </c>
    </row>
    <row r="188" spans="7:12" x14ac:dyDescent="0.25">
      <c r="I188" s="63">
        <v>26</v>
      </c>
      <c r="J188" s="227">
        <v>3.5056089743589745E-3</v>
      </c>
      <c r="K188" t="str">
        <v>Busje</v>
      </c>
      <c r="L188" s="227">
        <v>0.83229513888888895</v>
      </c>
    </row>
    <row r="189" spans="7:12" x14ac:dyDescent="0.25">
      <c r="I189" s="63">
        <v>28</v>
      </c>
      <c r="J189" s="227">
        <v>3.2552083333333335E-3</v>
      </c>
      <c r="K189" t="str">
        <v>Busje</v>
      </c>
      <c r="L189" s="227">
        <v>0.8280478670634922</v>
      </c>
    </row>
    <row r="190" spans="7:12" x14ac:dyDescent="0.25">
      <c r="I190" s="63">
        <v>30</v>
      </c>
      <c r="J190" s="227">
        <v>3.0381944444444445E-3</v>
      </c>
      <c r="K190" t="str">
        <v>Busje</v>
      </c>
      <c r="L190" s="227">
        <v>0.82922800925925932</v>
      </c>
    </row>
    <row r="191" spans="7:12" x14ac:dyDescent="0.25">
      <c r="I191" s="63">
        <v>32</v>
      </c>
      <c r="J191" s="227">
        <v>2.8483072916666665E-3</v>
      </c>
      <c r="K191" t="str">
        <v>Busje</v>
      </c>
      <c r="L191" s="227">
        <v>0.82570334201388884</v>
      </c>
    </row>
    <row r="192" spans="7:12" x14ac:dyDescent="0.25">
      <c r="I192" s="63">
        <v>34</v>
      </c>
      <c r="J192" s="227">
        <v>3.5105187908496733E-3</v>
      </c>
      <c r="K192" t="str">
        <v>Bakwagen</v>
      </c>
      <c r="L192" s="227">
        <v>0.82771231617647056</v>
      </c>
    </row>
    <row r="193" spans="8:13" x14ac:dyDescent="0.25">
      <c r="I193" s="63">
        <v>36</v>
      </c>
      <c r="J193" s="227">
        <v>3.3154899691358024E-3</v>
      </c>
      <c r="K193" t="str">
        <v>Bakwagen</v>
      </c>
      <c r="L193" s="227">
        <v>0.82466348379629628</v>
      </c>
    </row>
    <row r="194" spans="8:13" x14ac:dyDescent="0.25">
      <c r="I194" s="63">
        <v>38</v>
      </c>
      <c r="J194" s="227">
        <v>3.1409904970760233E-3</v>
      </c>
      <c r="K194" t="str">
        <v>Bakwagen</v>
      </c>
      <c r="L194" s="227">
        <v>0.82577330043859654</v>
      </c>
    </row>
    <row r="199" spans="8:13" x14ac:dyDescent="0.25">
      <c r="I199" s="248">
        <f>+'Uitserveren op school'!G13</f>
        <v>0.9375</v>
      </c>
      <c r="J199" s="249">
        <v>20</v>
      </c>
      <c r="K199" s="249">
        <v>25</v>
      </c>
      <c r="L199" s="249">
        <v>30</v>
      </c>
      <c r="M199" s="249">
        <v>35</v>
      </c>
    </row>
    <row r="200" spans="8:13" x14ac:dyDescent="0.25">
      <c r="I200" s="229">
        <v>5</v>
      </c>
      <c r="J200" s="186">
        <f t="dataTable" ref="J200:M204" dt2D="1" dtr="1" r1="C101" r2="C98"/>
        <v>0.20833333333333334</v>
      </c>
      <c r="K200" s="186">
        <v>0.26041666666666669</v>
      </c>
      <c r="L200" s="186">
        <v>0.3125</v>
      </c>
      <c r="M200" s="186">
        <v>0.36458333333333331</v>
      </c>
    </row>
    <row r="201" spans="8:13" x14ac:dyDescent="0.25">
      <c r="H201" t="s">
        <v>468</v>
      </c>
      <c r="I201" s="229">
        <v>15</v>
      </c>
      <c r="J201" s="186">
        <v>0.41666666666666669</v>
      </c>
      <c r="K201" s="186">
        <v>0.52083333333333337</v>
      </c>
      <c r="L201" s="186">
        <v>0.625</v>
      </c>
      <c r="M201" s="186">
        <v>0.72916666666666663</v>
      </c>
    </row>
    <row r="202" spans="8:13" x14ac:dyDescent="0.25">
      <c r="H202" t="s">
        <v>469</v>
      </c>
      <c r="I202" s="229">
        <v>25</v>
      </c>
      <c r="J202" s="186">
        <v>0.625</v>
      </c>
      <c r="K202" s="186">
        <v>0.78125</v>
      </c>
      <c r="L202" s="237">
        <v>0.9375</v>
      </c>
      <c r="M202" s="186">
        <v>1.09375</v>
      </c>
    </row>
    <row r="203" spans="8:13" x14ac:dyDescent="0.25">
      <c r="H203" t="s">
        <v>470</v>
      </c>
      <c r="I203" s="229">
        <v>30</v>
      </c>
      <c r="J203" s="186">
        <v>0.625</v>
      </c>
      <c r="K203" s="186">
        <v>0.78125</v>
      </c>
      <c r="L203" s="186">
        <v>0.9375</v>
      </c>
      <c r="M203" s="186">
        <v>1.09375</v>
      </c>
    </row>
    <row r="204" spans="8:13" x14ac:dyDescent="0.25">
      <c r="H204" t="s">
        <v>471</v>
      </c>
      <c r="I204" s="229">
        <v>35</v>
      </c>
      <c r="J204" s="186">
        <v>0.83333333333333337</v>
      </c>
      <c r="K204" s="186">
        <v>1.0416666666666667</v>
      </c>
      <c r="L204" s="186">
        <v>1.25</v>
      </c>
      <c r="M204" s="186">
        <v>1.4583333333333333</v>
      </c>
    </row>
  </sheetData>
  <scenarios current="0" show="0" sqref="C150:C155">
    <scenario name="Basis" locked="1" count="5" user="Titulaer,Bart J.B.M." comment="Modified by Bart on 29-11-2021_x000a_Modified by Titulaer,Bart J.B.M. on 30-11-2021">
      <inputCells r="C36" val="7"/>
      <inputCells r="C104" val="1,2" numFmtId="43"/>
      <inputCells r="C108" val="28,5" numFmtId="44"/>
      <inputCells r="C75" val="2"/>
      <inputCells r="C101" val="0" numFmtId="44"/>
    </scenario>
    <scenario name="1" locked="1" count="5" user="Titulaer,Bart J.B.M." comment="Created by Bart on 29-11-2021_x000a_Modified by Bart on 29-11-2021_x000a_Modified by Titulaer,Bart J.B.M. on 30-11-2021">
      <inputCells r="C36" val="4"/>
      <inputCells r="C104" val="0,8"/>
      <inputCells r="C108" val="35" numFmtId="44"/>
      <inputCells r="C75" val="2"/>
      <inputCells r="C101" val="0" numFmtId="44"/>
    </scenario>
    <scenario name="2" locked="1" count="5" user="Titulaer,Bart J.B.M." comment="Created by Bart on 29-11-2021_x000a_Modified by Bart on 29-11-2021_x000a_Modified by Bart on 30-11-2021_x000a_Modified by Titulaer,Bart J.B.M. on 30-11-2021">
      <inputCells r="C36" val="4"/>
      <inputCells r="C104" val="1,2"/>
      <inputCells r="C108" val="25" numFmtId="44"/>
      <inputCells r="C75" val="2"/>
      <inputCells r="C101" val="0" numFmtId="44"/>
    </scenario>
    <scenario name="3" locked="1" count="5" user="Titulaer,Bart J.B.M." comment="Created by Bart on 29-11-2021_x000a_Modified by Titulaer,Bart J.B.M. on 30-11-2021">
      <inputCells r="C36" val="4"/>
      <inputCells r="C104" val="1,2"/>
      <inputCells r="C108" val="25" numFmtId="44"/>
      <inputCells r="C75" val="2"/>
      <inputCells r="C101" val="30" numFmtId="44"/>
    </scenario>
    <scenario name="4" locked="1" count="5" user="Titulaer,Bart J.B.M." comment="Created by Bart on 29-11-2021_x000a_Modified by Titulaer,Bart J.B.M. on 30-11-2021">
      <inputCells r="C36" val="15"/>
      <inputCells r="C104" val="0,8"/>
      <inputCells r="C108" val="35" numFmtId="44"/>
      <inputCells r="C75" val="2,5"/>
      <inputCells r="C101" val="0" numFmtId="44"/>
    </scenario>
    <scenario name="5" locked="1" count="5" user="Titulaer,Bart J.B.M." comment="Created by Bart on 29-11-2021_x000a_Modified by Bart on 29-11-2021_x000a_Modified by Titulaer,Bart J.B.M. on 30-11-2021">
      <inputCells r="C36" val="15"/>
      <inputCells r="C104" val="1,2"/>
      <inputCells r="C108" val="25" numFmtId="44"/>
      <inputCells r="C75" val="2,5"/>
      <inputCells r="C101" val="0" numFmtId="44"/>
    </scenario>
    <scenario name="6" locked="1" count="5" user="Titulaer,Bart J.B.M." comment="Created by Bart on 29-11-2021_x000a_Modified by Bart on 29-11-2021_x000a_Modified by Bart on 30-11-2021_x000a_Modified by Titulaer,Bart J.B.M. on 30-11-2021">
      <inputCells r="C36" val="15"/>
      <inputCells r="C104" val="1,2"/>
      <inputCells r="C108" val="25" numFmtId="44"/>
      <inputCells r="C75" val="2,5"/>
      <inputCells r="C101" val="30" numFmtId="44"/>
    </scenario>
    <scenario name="7" locked="1" count="5" user="Titulaer,Bart J.B.M." comment="Created by Bart on 29-11-2021_x000a_Modified by Titulaer,Bart J.B.M. on 30-11-2021">
      <inputCells r="C36" val="30"/>
      <inputCells r="C104" val="0,8"/>
      <inputCells r="C108" val="35" numFmtId="44"/>
      <inputCells r="C75" val="3"/>
      <inputCells r="C101" val="0" numFmtId="44"/>
    </scenario>
    <scenario name="8" locked="1" count="5" user="Titulaer,Bart J.B.M." comment="Created by Bart on 29-11-2021_x000a_Modified by Bart on 30-11-2021_x000a_Modified by Titulaer,Bart J.B.M. on 30-11-2021">
      <inputCells r="C36" val="30"/>
      <inputCells r="C104" val="1,2"/>
      <inputCells r="C108" val="25" numFmtId="44"/>
      <inputCells r="C75" val="3"/>
      <inputCells r="C101" val="0" numFmtId="44"/>
    </scenario>
    <scenario name="9" locked="1" count="5" user="Titulaer,Bart J.B.M." comment="Created by Bart on 29-11-2021_x000a_Modified by Bart on 29-11-2021_x000a_Modified by Titulaer,Bart J.B.M. on 30-11-2021">
      <inputCells r="C36" val="30"/>
      <inputCells r="C104" val="1,2"/>
      <inputCells r="C108" val="25" numFmtId="44"/>
      <inputCells r="C75" val="3"/>
      <inputCells r="C101" val="30" numFmtId="44"/>
    </scenario>
  </scenarios>
  <hyperlinks>
    <hyperlink ref="G75" location="'Final mile'!A1" display="naar berekening"/>
    <hyperlink ref="J1" location="Docu!B1" display="Documentatie"/>
    <hyperlink ref="C2" location="Hub!A1" display="Hub"/>
    <hyperlink ref="J3" location="Dashboard!A1" display="Dashboard"/>
    <hyperlink ref="B2" location="'Final mile'!A1" display="Final mile"/>
    <hyperlink ref="A2" location="Tuinders!A1" display="Tuinders"/>
    <hyperlink ref="H2" location="'Uitserveren op school'!A1" display="Uitserveren"/>
  </hyperlinks>
  <pageMargins left="0.7" right="0.7" top="0.75" bottom="0.75" header="0.3" footer="0.3"/>
  <pageSetup paperSize="9" orientation="portrait" verticalDpi="0" r:id="rId1"/>
  <drawing r:id="rId2"/>
  <legacyDrawing r:id="rId3"/>
  <tableParts count="1">
    <tablePart r:id="rId4"/>
  </tableParts>
  <extLst>
    <ext xmlns:x14="http://schemas.microsoft.com/office/spreadsheetml/2009/9/main" uri="{CCE6A557-97BC-4b89-ADB6-D9C93CAAB3DF}">
      <x14:dataValidations xmlns:xm="http://schemas.microsoft.com/office/excel/2006/main" count="1">
        <x14:dataValidation type="list" allowBlank="1" showInputMessage="1" showErrorMessage="1" promptTitle="Wijze van serveren" prompt="Maak een keuze op welke wijze het eten op de school wordt uitgeserveerd. ">
          <x14:formula1>
            <xm:f>Dropdown!$N$2:$N$4</xm:f>
          </x14:formula1>
          <xm:sqref>C102</xm:sqref>
        </x14:dataValidation>
      </x14:dataValidations>
    </ext>
    <ext xmlns:x15="http://schemas.microsoft.com/office/spreadsheetml/2010/11/main" uri="{3A4CF648-6AED-40f4-86FF-DC5316D8AED3}">
      <x14:slicerList xmlns:x14="http://schemas.microsoft.com/office/spreadsheetml/2009/9/main">
        <x14:slicer r:id="rId5"/>
      </x14:slicerList>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tabColor theme="9" tint="0.39997558519241921"/>
  </sheetPr>
  <dimension ref="A1:AI12"/>
  <sheetViews>
    <sheetView showGridLines="0" zoomScale="96" zoomScaleNormal="63" workbookViewId="0">
      <pane xSplit="1" topLeftCell="B1" activePane="topRight" state="frozen"/>
      <selection pane="topRight" activeCell="H20" sqref="H20"/>
    </sheetView>
  </sheetViews>
  <sheetFormatPr defaultRowHeight="15" x14ac:dyDescent="0.25"/>
  <cols>
    <col min="1" max="1" width="7.28515625" customWidth="1"/>
    <col min="2" max="2" width="4.42578125" customWidth="1"/>
    <col min="3" max="3" width="17.42578125" bestFit="1" customWidth="1"/>
    <col min="4" max="4" width="14.7109375" customWidth="1"/>
    <col min="5" max="5" width="15.28515625" customWidth="1"/>
    <col min="6" max="6" width="7.28515625" customWidth="1"/>
    <col min="7" max="7" width="4.85546875" customWidth="1"/>
    <col min="8" max="8" width="17.85546875" customWidth="1"/>
    <col min="9" max="9" width="11.5703125" bestFit="1" customWidth="1"/>
    <col min="10" max="10" width="14.42578125" customWidth="1"/>
    <col min="11" max="11" width="5" customWidth="1"/>
    <col min="12" max="12" width="4.28515625" customWidth="1"/>
    <col min="13" max="13" width="17.42578125" bestFit="1" customWidth="1"/>
    <col min="14" max="14" width="15.7109375" customWidth="1"/>
    <col min="15" max="15" width="9.42578125" customWidth="1"/>
    <col min="16" max="16" width="5.28515625" customWidth="1"/>
    <col min="17" max="17" width="5" customWidth="1"/>
    <col min="18" max="18" width="11.5703125" customWidth="1"/>
    <col min="19" max="19" width="16.5703125" bestFit="1" customWidth="1"/>
    <col min="20" max="20" width="9" customWidth="1"/>
    <col min="21" max="21" width="3.42578125" customWidth="1"/>
    <col min="22" max="22" width="4.5703125" customWidth="1"/>
    <col min="23" max="23" width="3.28515625" customWidth="1"/>
    <col min="24" max="24" width="14.140625" customWidth="1"/>
    <col min="25" max="26" width="10.5703125" customWidth="1"/>
    <col min="28" max="28" width="5.140625" customWidth="1"/>
  </cols>
  <sheetData>
    <row r="1" spans="1:35" x14ac:dyDescent="0.25">
      <c r="A1" s="192" t="s">
        <v>353</v>
      </c>
    </row>
    <row r="2" spans="1:35" x14ac:dyDescent="0.25">
      <c r="B2" s="277" t="s">
        <v>264</v>
      </c>
      <c r="C2" s="278"/>
      <c r="D2" s="278"/>
      <c r="E2" s="278"/>
      <c r="F2" s="279"/>
      <c r="G2" s="277" t="s">
        <v>265</v>
      </c>
      <c r="H2" s="278"/>
      <c r="I2" s="278"/>
      <c r="J2" s="278"/>
      <c r="K2" s="279"/>
      <c r="L2" s="277" t="s">
        <v>222</v>
      </c>
      <c r="M2" s="278"/>
      <c r="N2" s="278"/>
      <c r="O2" s="278"/>
      <c r="P2" s="279"/>
      <c r="Q2" s="286" t="s">
        <v>291</v>
      </c>
      <c r="R2" s="287"/>
      <c r="S2" s="287"/>
      <c r="T2" s="287"/>
      <c r="U2" s="288"/>
      <c r="W2" s="280" t="s">
        <v>289</v>
      </c>
      <c r="X2" s="281"/>
      <c r="Y2" s="281"/>
      <c r="Z2" s="281"/>
      <c r="AA2" s="282"/>
    </row>
    <row r="3" spans="1:35" ht="15.75" thickBot="1" x14ac:dyDescent="0.3">
      <c r="A3" s="283"/>
      <c r="B3" s="89"/>
      <c r="C3" s="90"/>
      <c r="D3" s="90"/>
      <c r="E3" s="90"/>
      <c r="F3" s="91"/>
      <c r="G3" s="124"/>
      <c r="H3" s="125"/>
      <c r="I3" s="125"/>
      <c r="J3" s="125"/>
      <c r="K3" s="126"/>
      <c r="L3" s="99"/>
      <c r="M3" s="100"/>
      <c r="N3" s="100"/>
      <c r="O3" s="100"/>
      <c r="P3" s="101"/>
      <c r="Q3" s="130"/>
      <c r="R3" s="131"/>
      <c r="S3" s="131"/>
      <c r="T3" s="131"/>
      <c r="U3" s="132"/>
      <c r="W3" s="115"/>
      <c r="X3" s="116"/>
      <c r="Y3" s="116"/>
      <c r="Z3" s="116"/>
      <c r="AA3" s="117"/>
      <c r="AC3" s="75" t="s">
        <v>516</v>
      </c>
    </row>
    <row r="4" spans="1:35" ht="15.75" thickBot="1" x14ac:dyDescent="0.3">
      <c r="A4" s="284"/>
      <c r="B4" s="89"/>
      <c r="C4" s="90"/>
      <c r="D4" s="90"/>
      <c r="E4" s="90"/>
      <c r="F4" s="91"/>
      <c r="G4" s="124"/>
      <c r="H4" s="125"/>
      <c r="I4" s="125"/>
      <c r="J4" s="125"/>
      <c r="K4" s="126"/>
      <c r="L4" s="102"/>
      <c r="M4" s="103" t="s">
        <v>288</v>
      </c>
      <c r="N4" s="96">
        <f>+'Final mile'!D53</f>
        <v>2</v>
      </c>
      <c r="O4" s="103"/>
      <c r="P4" s="104"/>
      <c r="Q4" s="133"/>
      <c r="R4" s="134" t="s">
        <v>389</v>
      </c>
      <c r="S4" s="96" t="str">
        <f>Input!C102</f>
        <v>Groep 8 / schalen</v>
      </c>
      <c r="T4" s="134"/>
      <c r="U4" s="135"/>
      <c r="W4" s="109"/>
      <c r="X4" s="110"/>
      <c r="Y4" s="110"/>
      <c r="Z4" s="110"/>
      <c r="AA4" s="111"/>
    </row>
    <row r="5" spans="1:35" ht="15.75" thickBot="1" x14ac:dyDescent="0.3">
      <c r="A5" s="284"/>
      <c r="B5" s="89"/>
      <c r="C5" s="90"/>
      <c r="D5" s="90"/>
      <c r="E5" s="90"/>
      <c r="F5" s="91"/>
      <c r="G5" s="124"/>
      <c r="H5" s="125" t="s">
        <v>309</v>
      </c>
      <c r="I5" s="105">
        <f>+Input!C114</f>
        <v>2.15</v>
      </c>
      <c r="J5" s="125" t="s">
        <v>272</v>
      </c>
      <c r="K5" s="126"/>
      <c r="L5" s="102"/>
      <c r="M5" s="103" t="s">
        <v>402</v>
      </c>
      <c r="N5" s="103"/>
      <c r="O5" s="103"/>
      <c r="P5" s="104"/>
      <c r="Q5" s="133"/>
      <c r="R5" s="134" t="s">
        <v>388</v>
      </c>
      <c r="S5" s="134"/>
      <c r="T5" s="134"/>
      <c r="U5" s="135"/>
      <c r="W5" s="109"/>
      <c r="X5" s="110" t="s">
        <v>309</v>
      </c>
      <c r="Y5" s="105">
        <f>I5</f>
        <v>2.15</v>
      </c>
      <c r="Z5" s="110" t="s">
        <v>272</v>
      </c>
      <c r="AA5" s="142">
        <f ca="1">Y5/Y11</f>
        <v>0.70734741130496004</v>
      </c>
      <c r="AC5" t="s">
        <v>518</v>
      </c>
    </row>
    <row r="6" spans="1:35" ht="15.75" thickBot="1" x14ac:dyDescent="0.3">
      <c r="A6" s="284"/>
      <c r="B6" s="89"/>
      <c r="C6" s="90" t="s">
        <v>269</v>
      </c>
      <c r="D6" s="200" t="str">
        <f>+Tuinders!P12</f>
        <v>Busje</v>
      </c>
      <c r="E6" s="90"/>
      <c r="F6" s="91"/>
      <c r="G6" s="124"/>
      <c r="H6" s="125" t="s">
        <v>324</v>
      </c>
      <c r="I6" s="105">
        <f>Tuinders!H1/Input!C44</f>
        <v>0.23650000000000002</v>
      </c>
      <c r="J6" s="159">
        <f>+I6/I5</f>
        <v>0.11000000000000001</v>
      </c>
      <c r="K6" s="126"/>
      <c r="L6" s="102"/>
      <c r="M6" s="103" t="s">
        <v>269</v>
      </c>
      <c r="N6" s="96" t="str">
        <f>+'Final mile'!D52</f>
        <v>Auto</v>
      </c>
      <c r="O6" s="103"/>
      <c r="P6" s="104"/>
      <c r="Q6" s="133"/>
      <c r="R6" s="134"/>
      <c r="S6" s="134"/>
      <c r="T6" s="134"/>
      <c r="U6" s="135"/>
      <c r="W6" s="109"/>
      <c r="X6" s="110"/>
      <c r="Y6" s="110"/>
      <c r="Z6" s="110"/>
      <c r="AA6" s="111"/>
      <c r="AC6" t="s">
        <v>517</v>
      </c>
      <c r="AI6" s="192" t="s">
        <v>519</v>
      </c>
    </row>
    <row r="7" spans="1:35" x14ac:dyDescent="0.25">
      <c r="A7" s="285"/>
      <c r="B7" s="89"/>
      <c r="C7" s="90"/>
      <c r="D7" s="95" t="str">
        <f>CONCATENATE(D4,D6)</f>
        <v>Busje</v>
      </c>
      <c r="E7" s="90"/>
      <c r="F7" s="91"/>
      <c r="G7" s="124"/>
      <c r="H7" s="125"/>
      <c r="I7" s="125"/>
      <c r="J7" s="125"/>
      <c r="K7" s="126"/>
      <c r="L7" s="102"/>
      <c r="M7" s="103"/>
      <c r="N7" s="103"/>
      <c r="O7" s="103"/>
      <c r="P7" s="104"/>
      <c r="Q7" s="136"/>
      <c r="R7" s="137"/>
      <c r="S7" s="137"/>
      <c r="T7" s="137"/>
      <c r="U7" s="138"/>
      <c r="W7" s="109"/>
      <c r="X7" s="110"/>
      <c r="Y7" s="110"/>
      <c r="Z7" s="110"/>
      <c r="AA7" s="111"/>
    </row>
    <row r="8" spans="1:35" x14ac:dyDescent="0.25">
      <c r="A8" s="283"/>
      <c r="B8" s="118"/>
      <c r="C8" s="119" t="s">
        <v>352</v>
      </c>
      <c r="D8" s="182" t="s">
        <v>351</v>
      </c>
      <c r="E8" s="119"/>
      <c r="F8" s="120"/>
      <c r="G8" s="121"/>
      <c r="H8" s="122"/>
      <c r="I8" s="122"/>
      <c r="J8" s="122"/>
      <c r="K8" s="123"/>
      <c r="L8" s="99"/>
      <c r="M8" s="100"/>
      <c r="N8" s="100"/>
      <c r="O8" s="100"/>
      <c r="P8" s="101"/>
      <c r="Q8" s="130"/>
      <c r="R8" s="131"/>
      <c r="S8" s="131"/>
      <c r="T8" s="131"/>
      <c r="U8" s="132"/>
      <c r="W8" s="115"/>
      <c r="X8" s="116"/>
      <c r="Y8" s="116"/>
      <c r="Z8" s="116"/>
      <c r="AA8" s="117"/>
    </row>
    <row r="9" spans="1:35" x14ac:dyDescent="0.25">
      <c r="A9" s="284"/>
      <c r="B9" s="89"/>
      <c r="C9" s="90" t="s">
        <v>270</v>
      </c>
      <c r="D9" s="105">
        <f ca="1">+Tuinders!S25</f>
        <v>1.3020833333333334E-2</v>
      </c>
      <c r="E9" s="90" t="s">
        <v>502</v>
      </c>
      <c r="F9" s="90"/>
      <c r="G9" s="124"/>
      <c r="H9" s="125" t="s">
        <v>376</v>
      </c>
      <c r="I9" s="139">
        <f>+Hub!J8+Hub!J10</f>
        <v>0.68900396825396837</v>
      </c>
      <c r="J9" s="125" t="s">
        <v>271</v>
      </c>
      <c r="K9" s="126"/>
      <c r="L9" s="102"/>
      <c r="M9" s="103" t="s">
        <v>357</v>
      </c>
      <c r="N9" s="105">
        <f>+'Final mile'!D51</f>
        <v>0.1875</v>
      </c>
      <c r="O9" s="103" t="s">
        <v>271</v>
      </c>
      <c r="P9" s="104"/>
      <c r="Q9" s="133"/>
      <c r="R9" s="134" t="s">
        <v>391</v>
      </c>
      <c r="S9" s="105">
        <f>VLOOKUP(S4,'Uitserveren op school'!$C$18:$D$20,2,FALSE)</f>
        <v>0</v>
      </c>
      <c r="T9" s="134" t="s">
        <v>271</v>
      </c>
      <c r="U9" s="135"/>
      <c r="W9" s="109"/>
      <c r="X9" s="110" t="s">
        <v>290</v>
      </c>
      <c r="Y9" s="105">
        <f ca="1">N9+I9+D9+S9</f>
        <v>0.88952480158730174</v>
      </c>
      <c r="Z9" s="110" t="s">
        <v>272</v>
      </c>
      <c r="AA9" s="142">
        <f ca="1">Y9/Y11</f>
        <v>0.29265258869504002</v>
      </c>
    </row>
    <row r="10" spans="1:35" x14ac:dyDescent="0.25">
      <c r="A10" s="284"/>
      <c r="B10" s="89"/>
      <c r="C10" s="90"/>
      <c r="D10" s="105">
        <f ca="1">+D9*Input!C44</f>
        <v>5.2083333333333336E-2</v>
      </c>
      <c r="E10" s="90" t="s">
        <v>501</v>
      </c>
      <c r="F10" s="90"/>
      <c r="G10" s="124"/>
      <c r="H10" s="125" t="s">
        <v>377</v>
      </c>
      <c r="I10" s="139">
        <f>I9*Aantal_lunches_per_school_per_week</f>
        <v>2.7560158730158735</v>
      </c>
      <c r="J10" s="125" t="s">
        <v>306</v>
      </c>
      <c r="K10" s="126"/>
      <c r="L10" s="102"/>
      <c r="M10" s="103"/>
      <c r="N10" s="105">
        <f>+N9*Aantal_lunches_per_school_per_week</f>
        <v>0.75</v>
      </c>
      <c r="O10" s="103" t="s">
        <v>306</v>
      </c>
      <c r="P10" s="104"/>
      <c r="Q10" s="133"/>
      <c r="R10" s="134" t="s">
        <v>390</v>
      </c>
      <c r="S10" s="105">
        <f>S9*Input!$C$44</f>
        <v>0</v>
      </c>
      <c r="T10" s="134" t="s">
        <v>306</v>
      </c>
      <c r="U10" s="135"/>
      <c r="W10" s="109"/>
      <c r="X10" s="110"/>
      <c r="Y10" s="110"/>
      <c r="Z10" s="110"/>
      <c r="AA10" s="111"/>
    </row>
    <row r="11" spans="1:35" x14ac:dyDescent="0.25">
      <c r="A11" s="284"/>
      <c r="B11" s="89"/>
      <c r="C11" s="90"/>
      <c r="D11" s="139">
        <f ca="1">D9*(Aantal_groepen*Aantal_Lunches_per_Groep)</f>
        <v>1.875</v>
      </c>
      <c r="E11" s="90" t="s">
        <v>503</v>
      </c>
      <c r="F11" s="90"/>
      <c r="G11" s="124"/>
      <c r="H11" s="125"/>
      <c r="I11" s="139">
        <f>I9*Aantal_groepen*Aantal_Lunches_per_Groep</f>
        <v>99.216571428571442</v>
      </c>
      <c r="J11" s="125" t="s">
        <v>287</v>
      </c>
      <c r="K11" s="126"/>
      <c r="L11" s="102"/>
      <c r="M11" s="103"/>
      <c r="N11" s="139">
        <f>+N9*Aantal_groepen*Aantal_Lunches_per_Groep</f>
        <v>27</v>
      </c>
      <c r="O11" s="103" t="s">
        <v>287</v>
      </c>
      <c r="P11" s="104"/>
      <c r="Q11" s="133"/>
      <c r="R11" s="134"/>
      <c r="S11" s="140">
        <f>VLOOKUP(S4,'Uitserveren op school'!$C$18:$E$20,3,FALSE)</f>
        <v>0</v>
      </c>
      <c r="T11" s="134" t="s">
        <v>287</v>
      </c>
      <c r="U11" s="135"/>
      <c r="W11" s="109"/>
      <c r="X11" s="110" t="s">
        <v>310</v>
      </c>
      <c r="Y11" s="139">
        <f ca="1">Y9+Y5</f>
        <v>3.0395248015873015</v>
      </c>
      <c r="Z11" s="110" t="s">
        <v>272</v>
      </c>
      <c r="AA11" s="141">
        <v>1</v>
      </c>
    </row>
    <row r="12" spans="1:35" x14ac:dyDescent="0.25">
      <c r="A12" s="285"/>
      <c r="B12" s="92"/>
      <c r="C12" s="93"/>
      <c r="D12" s="93"/>
      <c r="E12" s="93"/>
      <c r="F12" s="94"/>
      <c r="G12" s="127"/>
      <c r="H12" s="128"/>
      <c r="I12" s="128"/>
      <c r="J12" s="128"/>
      <c r="K12" s="129"/>
      <c r="L12" s="106"/>
      <c r="M12" s="107"/>
      <c r="N12" s="183"/>
      <c r="O12" s="107"/>
      <c r="P12" s="108"/>
      <c r="Q12" s="136"/>
      <c r="R12" s="137"/>
      <c r="S12" s="137"/>
      <c r="T12" s="137"/>
      <c r="U12" s="138"/>
      <c r="W12" s="112"/>
      <c r="X12" s="113"/>
      <c r="Y12" s="113"/>
      <c r="Z12" s="113"/>
      <c r="AA12" s="114"/>
    </row>
  </sheetData>
  <mergeCells count="7">
    <mergeCell ref="B2:F2"/>
    <mergeCell ref="G2:K2"/>
    <mergeCell ref="L2:P2"/>
    <mergeCell ref="W2:AA2"/>
    <mergeCell ref="A8:A12"/>
    <mergeCell ref="A3:A7"/>
    <mergeCell ref="Q2:U2"/>
  </mergeCells>
  <dataValidations disablePrompts="1" count="3">
    <dataValidation allowBlank="1" showInputMessage="1" showErrorMessage="1" promptTitle="Transportmiddel" prompt="Dit is volgens het model het transportmiddel met de laagste kosten" sqref="N6"/>
    <dataValidation allowBlank="1" showInputMessage="1" showErrorMessage="1" promptTitle="Aantal bezorgers" prompt="Maak een keuze in het aantal beschikbare bezorgers. " sqref="N4"/>
    <dataValidation allowBlank="1" showInputMessage="1" showErrorMessage="1" promptTitle="Wijze van serveren" sqref="S4"/>
  </dataValidations>
  <hyperlinks>
    <hyperlink ref="A1" location="Input!A1" display="Input"/>
    <hyperlink ref="AI6" location="Inkoop_kosten_per_lunch" display="zie link"/>
  </hyperlink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B1:O26"/>
  <sheetViews>
    <sheetView showGridLines="0" zoomScale="87" zoomScaleNormal="87" workbookViewId="0">
      <selection activeCell="Q16" sqref="Q16"/>
    </sheetView>
  </sheetViews>
  <sheetFormatPr defaultRowHeight="15" outlineLevelRow="1" outlineLevelCol="1" x14ac:dyDescent="0.25"/>
  <cols>
    <col min="2" max="2" width="3.140625" customWidth="1"/>
    <col min="3" max="3" width="37" customWidth="1"/>
    <col min="4" max="4" width="13.140625" hidden="1" customWidth="1" outlineLevel="1"/>
    <col min="5" max="5" width="9.85546875" customWidth="1" outlineLevel="1"/>
    <col min="6" max="6" width="8.5703125" customWidth="1" outlineLevel="1"/>
    <col min="7" max="7" width="8.85546875" customWidth="1" outlineLevel="1"/>
    <col min="8" max="8" width="9.42578125" customWidth="1" outlineLevel="1"/>
    <col min="9" max="11" width="8.85546875" bestFit="1" customWidth="1" outlineLevel="1"/>
    <col min="12" max="12" width="10.42578125" bestFit="1" customWidth="1" outlineLevel="1"/>
    <col min="13" max="14" width="8.85546875" bestFit="1" customWidth="1" outlineLevel="1"/>
    <col min="15" max="15" width="4.5703125" customWidth="1"/>
  </cols>
  <sheetData>
    <row r="1" spans="2:15" ht="15.75" thickBot="1" x14ac:dyDescent="0.3"/>
    <row r="2" spans="2:15" ht="15.75" x14ac:dyDescent="0.25">
      <c r="B2" s="230" t="s">
        <v>499</v>
      </c>
      <c r="C2" s="251"/>
      <c r="D2" s="215"/>
      <c r="E2" s="215"/>
      <c r="F2" s="215"/>
      <c r="G2" s="215"/>
      <c r="H2" s="215"/>
      <c r="I2" s="215"/>
      <c r="J2" s="215"/>
      <c r="K2" s="215"/>
      <c r="L2" s="215"/>
      <c r="M2" s="215"/>
      <c r="N2" s="215"/>
    </row>
    <row r="3" spans="2:15" ht="15.75" collapsed="1" x14ac:dyDescent="0.25">
      <c r="B3" s="250"/>
      <c r="C3" s="250"/>
      <c r="D3" s="216" t="s">
        <v>424</v>
      </c>
      <c r="E3" s="216" t="s">
        <v>422</v>
      </c>
      <c r="F3" s="216">
        <v>1</v>
      </c>
      <c r="G3" s="216">
        <v>2</v>
      </c>
      <c r="H3" s="216">
        <v>3</v>
      </c>
      <c r="I3" s="216">
        <v>4</v>
      </c>
      <c r="J3" s="216">
        <v>5</v>
      </c>
      <c r="K3" s="216">
        <v>6</v>
      </c>
      <c r="L3" s="216">
        <v>7</v>
      </c>
      <c r="M3" s="216">
        <v>8</v>
      </c>
      <c r="N3" s="216">
        <v>9</v>
      </c>
    </row>
    <row r="4" spans="2:15" ht="146.25" hidden="1" outlineLevel="1" x14ac:dyDescent="0.25">
      <c r="B4" s="252"/>
      <c r="C4" s="252"/>
      <c r="D4" s="211"/>
      <c r="E4" s="220" t="s">
        <v>480</v>
      </c>
      <c r="F4" s="220" t="s">
        <v>478</v>
      </c>
      <c r="G4" s="220" t="s">
        <v>476</v>
      </c>
      <c r="H4" s="220" t="s">
        <v>477</v>
      </c>
      <c r="I4" s="220" t="s">
        <v>477</v>
      </c>
      <c r="J4" s="220" t="s">
        <v>478</v>
      </c>
      <c r="K4" s="220" t="s">
        <v>476</v>
      </c>
      <c r="L4" s="220" t="s">
        <v>477</v>
      </c>
      <c r="M4" s="220" t="s">
        <v>479</v>
      </c>
      <c r="N4" s="220" t="s">
        <v>478</v>
      </c>
    </row>
    <row r="5" spans="2:15" x14ac:dyDescent="0.25">
      <c r="B5" s="253" t="s">
        <v>423</v>
      </c>
      <c r="C5" s="253"/>
      <c r="D5" s="214"/>
      <c r="E5" s="214"/>
      <c r="F5" s="214"/>
      <c r="G5" s="214"/>
      <c r="H5" s="214"/>
      <c r="I5" s="214"/>
      <c r="J5" s="214"/>
      <c r="K5" s="214"/>
      <c r="L5" s="214"/>
      <c r="M5" s="214"/>
      <c r="N5" s="214"/>
    </row>
    <row r="6" spans="2:15" outlineLevel="1" x14ac:dyDescent="0.25">
      <c r="B6" s="252"/>
      <c r="C6" s="252" t="s">
        <v>419</v>
      </c>
      <c r="D6" s="211">
        <v>33</v>
      </c>
      <c r="E6" s="217">
        <v>7</v>
      </c>
      <c r="F6" s="217">
        <v>4</v>
      </c>
      <c r="G6" s="217">
        <v>4</v>
      </c>
      <c r="H6" s="217">
        <v>4</v>
      </c>
      <c r="I6" s="217">
        <v>15</v>
      </c>
      <c r="J6" s="217">
        <v>15</v>
      </c>
      <c r="K6" s="217">
        <v>15</v>
      </c>
      <c r="L6" s="217">
        <v>30</v>
      </c>
      <c r="M6" s="217">
        <v>30</v>
      </c>
      <c r="N6" s="217">
        <v>30</v>
      </c>
    </row>
    <row r="7" spans="2:15" outlineLevel="1" x14ac:dyDescent="0.25">
      <c r="B7" s="252"/>
      <c r="C7" s="252" t="s">
        <v>421</v>
      </c>
      <c r="D7" s="212">
        <v>1.2</v>
      </c>
      <c r="E7" s="218">
        <v>1.2</v>
      </c>
      <c r="F7" s="218">
        <v>0.8</v>
      </c>
      <c r="G7" s="218">
        <v>1.2</v>
      </c>
      <c r="H7" s="218">
        <v>1.2</v>
      </c>
      <c r="I7" s="218">
        <v>0.8</v>
      </c>
      <c r="J7" s="218">
        <v>1.2</v>
      </c>
      <c r="K7" s="218">
        <v>1.2</v>
      </c>
      <c r="L7" s="218">
        <v>0.8</v>
      </c>
      <c r="M7" s="218">
        <v>1.2</v>
      </c>
      <c r="N7" s="218">
        <v>1.2</v>
      </c>
    </row>
    <row r="8" spans="2:15" outlineLevel="1" x14ac:dyDescent="0.25">
      <c r="B8" s="252"/>
      <c r="C8" s="252" t="s">
        <v>472</v>
      </c>
      <c r="D8" s="213">
        <v>28.5</v>
      </c>
      <c r="E8" s="219">
        <v>28.5</v>
      </c>
      <c r="F8" s="219">
        <v>35</v>
      </c>
      <c r="G8" s="219">
        <v>25</v>
      </c>
      <c r="H8" s="219">
        <v>25</v>
      </c>
      <c r="I8" s="219">
        <v>35</v>
      </c>
      <c r="J8" s="219">
        <v>25</v>
      </c>
      <c r="K8" s="219">
        <v>25</v>
      </c>
      <c r="L8" s="219">
        <v>35</v>
      </c>
      <c r="M8" s="219">
        <v>25</v>
      </c>
      <c r="N8" s="219">
        <v>25</v>
      </c>
    </row>
    <row r="9" spans="2:15" outlineLevel="1" x14ac:dyDescent="0.25">
      <c r="B9" s="252"/>
      <c r="C9" s="252" t="s">
        <v>420</v>
      </c>
      <c r="D9" s="211">
        <v>2</v>
      </c>
      <c r="E9" s="217">
        <v>2</v>
      </c>
      <c r="F9" s="217">
        <v>2</v>
      </c>
      <c r="G9" s="217">
        <v>2</v>
      </c>
      <c r="H9" s="217">
        <v>2</v>
      </c>
      <c r="I9" s="217">
        <v>2.5</v>
      </c>
      <c r="J9" s="217">
        <v>2.5</v>
      </c>
      <c r="K9" s="217">
        <v>2.5</v>
      </c>
      <c r="L9" s="217">
        <v>3</v>
      </c>
      <c r="M9" s="217">
        <v>3</v>
      </c>
      <c r="N9" s="217">
        <v>3</v>
      </c>
    </row>
    <row r="10" spans="2:15" outlineLevel="1" x14ac:dyDescent="0.25">
      <c r="B10" s="252"/>
      <c r="C10" s="252" t="s">
        <v>473</v>
      </c>
      <c r="D10" s="213">
        <v>0</v>
      </c>
      <c r="E10" s="219">
        <v>0</v>
      </c>
      <c r="F10" s="219">
        <v>0</v>
      </c>
      <c r="G10" s="219">
        <v>0</v>
      </c>
      <c r="H10" s="219">
        <v>30</v>
      </c>
      <c r="I10" s="219">
        <v>0</v>
      </c>
      <c r="J10" s="219">
        <v>0</v>
      </c>
      <c r="K10" s="219">
        <v>30</v>
      </c>
      <c r="L10" s="219">
        <v>0</v>
      </c>
      <c r="M10" s="219">
        <v>0</v>
      </c>
      <c r="N10" s="219">
        <v>30</v>
      </c>
    </row>
    <row r="11" spans="2:15" x14ac:dyDescent="0.25">
      <c r="B11" s="253" t="s">
        <v>425</v>
      </c>
      <c r="C11" s="253"/>
      <c r="D11" s="214"/>
      <c r="E11" s="214"/>
      <c r="F11" s="214"/>
      <c r="G11" s="214"/>
      <c r="H11" s="214"/>
      <c r="I11" s="214"/>
      <c r="J11" s="214"/>
      <c r="K11" s="214"/>
      <c r="L11" s="214"/>
      <c r="M11" s="214"/>
      <c r="N11" s="214"/>
    </row>
    <row r="12" spans="2:15" outlineLevel="1" x14ac:dyDescent="0.25">
      <c r="B12" s="252"/>
      <c r="C12" s="252" t="s">
        <v>434</v>
      </c>
      <c r="D12" s="213">
        <v>1.9290123456790102E-2</v>
      </c>
      <c r="E12" s="213">
        <v>6.9444444444444406E-2</v>
      </c>
      <c r="F12" s="213">
        <v>0.121527777777778</v>
      </c>
      <c r="G12" s="213">
        <v>0.121527777777778</v>
      </c>
      <c r="H12" s="213">
        <v>0.121527777777778</v>
      </c>
      <c r="I12" s="213">
        <v>3.2407407407407399E-2</v>
      </c>
      <c r="J12" s="213">
        <v>3.2407407407407399E-2</v>
      </c>
      <c r="K12" s="213">
        <v>3.2407407407407399E-2</v>
      </c>
      <c r="L12" s="213">
        <v>1.6203703703703699E-2</v>
      </c>
      <c r="M12" s="213">
        <v>1.6203703703703699E-2</v>
      </c>
      <c r="N12" s="213">
        <v>1.6203703703703699E-2</v>
      </c>
    </row>
    <row r="13" spans="2:15" outlineLevel="1" x14ac:dyDescent="0.25">
      <c r="B13" s="252"/>
      <c r="C13" s="252" t="s">
        <v>435</v>
      </c>
      <c r="D13" s="213">
        <v>0.64015235690235694</v>
      </c>
      <c r="E13" s="213">
        <v>0.68900396825396804</v>
      </c>
      <c r="F13" s="213">
        <v>0.62184027777777795</v>
      </c>
      <c r="G13" s="213">
        <v>0.65850694444444402</v>
      </c>
      <c r="H13" s="213">
        <v>0.65850694444444402</v>
      </c>
      <c r="I13" s="213">
        <v>0.54226851851851898</v>
      </c>
      <c r="J13" s="213">
        <v>0.57893518518518505</v>
      </c>
      <c r="K13" s="213">
        <v>0.57893518518518505</v>
      </c>
      <c r="L13" s="213">
        <v>0.52780092592592598</v>
      </c>
      <c r="M13" s="213">
        <v>0.56446759259259305</v>
      </c>
      <c r="N13" s="213">
        <v>0.56446759259259305</v>
      </c>
    </row>
    <row r="14" spans="2:15" outlineLevel="1" x14ac:dyDescent="0.25">
      <c r="B14" s="252"/>
      <c r="C14" s="252" t="s">
        <v>436</v>
      </c>
      <c r="D14" s="213">
        <v>0.185606060606061</v>
      </c>
      <c r="E14" s="213">
        <v>0.1875</v>
      </c>
      <c r="F14" s="213">
        <v>0.18229166666666699</v>
      </c>
      <c r="G14" s="213">
        <v>0.18229166666666699</v>
      </c>
      <c r="H14" s="213">
        <v>0.18229166666666699</v>
      </c>
      <c r="I14" s="213">
        <v>0.15833333333333299</v>
      </c>
      <c r="J14" s="213">
        <v>0.15833333333333299</v>
      </c>
      <c r="K14" s="213">
        <v>0.15833333333333299</v>
      </c>
      <c r="L14" s="213">
        <v>0.15092592592592599</v>
      </c>
      <c r="M14" s="213">
        <v>0.15092592592592599</v>
      </c>
      <c r="N14" s="213">
        <v>0.15092592592592599</v>
      </c>
    </row>
    <row r="15" spans="2:15" outlineLevel="1" x14ac:dyDescent="0.25">
      <c r="B15" s="252"/>
      <c r="C15" s="252" t="s">
        <v>475</v>
      </c>
      <c r="D15" s="213">
        <v>0</v>
      </c>
      <c r="E15" s="213">
        <v>0</v>
      </c>
      <c r="F15" s="213">
        <v>0</v>
      </c>
      <c r="G15" s="213">
        <v>0</v>
      </c>
      <c r="H15" s="213">
        <v>0.9375</v>
      </c>
      <c r="I15" s="213">
        <v>0</v>
      </c>
      <c r="J15" s="213">
        <v>0</v>
      </c>
      <c r="K15" s="213">
        <v>0.9375</v>
      </c>
      <c r="L15" s="213">
        <v>0</v>
      </c>
      <c r="M15" s="213">
        <v>0</v>
      </c>
      <c r="N15" s="213">
        <v>0.9375</v>
      </c>
    </row>
    <row r="16" spans="2:15" ht="15.75" outlineLevel="1" thickBot="1" x14ac:dyDescent="0.3">
      <c r="B16" s="252"/>
      <c r="C16" s="252" t="s">
        <v>437</v>
      </c>
      <c r="D16" s="221">
        <v>2.15</v>
      </c>
      <c r="E16" s="221">
        <v>2.15</v>
      </c>
      <c r="F16" s="221">
        <v>2.15</v>
      </c>
      <c r="G16" s="221">
        <v>2.15</v>
      </c>
      <c r="H16" s="221">
        <v>2.15</v>
      </c>
      <c r="I16" s="221">
        <v>2.15</v>
      </c>
      <c r="J16" s="221">
        <v>2.15</v>
      </c>
      <c r="K16" s="221">
        <v>2.15</v>
      </c>
      <c r="L16" s="221">
        <v>2.15</v>
      </c>
      <c r="M16" s="221">
        <v>2.15</v>
      </c>
      <c r="N16" s="221">
        <v>2.15</v>
      </c>
      <c r="O16" s="154" t="s">
        <v>488</v>
      </c>
    </row>
    <row r="17" spans="2:14" ht="15.75" outlineLevel="1" thickBot="1" x14ac:dyDescent="0.3">
      <c r="B17" s="254"/>
      <c r="C17" s="254" t="s">
        <v>438</v>
      </c>
      <c r="D17" s="258">
        <v>2.9950485409652101</v>
      </c>
      <c r="E17" s="258">
        <v>3.09594841269841</v>
      </c>
      <c r="F17" s="258">
        <v>3.0756597222222202</v>
      </c>
      <c r="G17" s="258">
        <v>3.1123263888888899</v>
      </c>
      <c r="H17" s="258">
        <v>4.0498263888888903</v>
      </c>
      <c r="I17" s="258">
        <v>2.8830092592592602</v>
      </c>
      <c r="J17" s="258">
        <v>2.9196759259259299</v>
      </c>
      <c r="K17" s="258">
        <v>3.8571759259259299</v>
      </c>
      <c r="L17" s="258">
        <v>2.84493055555556</v>
      </c>
      <c r="M17" s="258">
        <v>2.8815972222222199</v>
      </c>
      <c r="N17" s="258">
        <v>3.8190972222222199</v>
      </c>
    </row>
    <row r="18" spans="2:14" x14ac:dyDescent="0.25">
      <c r="B18" t="s">
        <v>426</v>
      </c>
    </row>
    <row r="19" spans="2:14" x14ac:dyDescent="0.25">
      <c r="B19" t="s">
        <v>427</v>
      </c>
    </row>
    <row r="20" spans="2:14" x14ac:dyDescent="0.25">
      <c r="B20" t="s">
        <v>428</v>
      </c>
      <c r="J20" s="261"/>
    </row>
    <row r="21" spans="2:14" x14ac:dyDescent="0.25">
      <c r="J21" s="262"/>
      <c r="L21" s="262"/>
    </row>
    <row r="22" spans="2:14" x14ac:dyDescent="0.25">
      <c r="H22" s="264"/>
      <c r="I22" s="264"/>
      <c r="L22" s="259"/>
    </row>
    <row r="23" spans="2:14" x14ac:dyDescent="0.25">
      <c r="D23" s="259"/>
      <c r="F23" s="259"/>
      <c r="J23" s="259"/>
    </row>
    <row r="24" spans="2:14" x14ac:dyDescent="0.25">
      <c r="H24" s="260"/>
      <c r="L24" s="263"/>
    </row>
    <row r="25" spans="2:14" x14ac:dyDescent="0.25">
      <c r="I25" s="260"/>
    </row>
    <row r="26" spans="2:14" x14ac:dyDescent="0.25">
      <c r="H26" s="265"/>
      <c r="K26" s="260"/>
    </row>
  </sheetData>
  <pageMargins left="0.7" right="0.7" top="0.75" bottom="0.75" header="0.3" footer="0.3"/>
  <pageSetup paperSize="9"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theme="4" tint="0.39997558519241921"/>
  </sheetPr>
  <dimension ref="A1:T33"/>
  <sheetViews>
    <sheetView zoomScaleNormal="100" workbookViewId="0">
      <selection activeCell="S22" sqref="S22"/>
    </sheetView>
  </sheetViews>
  <sheetFormatPr defaultRowHeight="15" x14ac:dyDescent="0.25"/>
  <cols>
    <col min="1" max="1" width="6" customWidth="1"/>
    <col min="2" max="2" width="20.5703125" customWidth="1"/>
    <col min="3" max="3" width="22.140625" customWidth="1"/>
    <col min="4" max="4" width="14.42578125" customWidth="1"/>
    <col min="5" max="5" width="6.5703125" customWidth="1"/>
    <col min="6" max="6" width="15.28515625" customWidth="1"/>
    <col min="7" max="7" width="13.42578125" customWidth="1"/>
    <col min="8" max="8" width="16" bestFit="1" customWidth="1"/>
    <col min="9" max="9" width="12.7109375" customWidth="1"/>
    <col min="10" max="10" width="13.42578125" customWidth="1"/>
    <col min="11" max="11" width="9.7109375" customWidth="1"/>
    <col min="12" max="12" width="10" customWidth="1"/>
    <col min="13" max="13" width="11.28515625" customWidth="1"/>
    <col min="15" max="15" width="23.7109375" customWidth="1"/>
    <col min="16" max="16" width="14.42578125" bestFit="1" customWidth="1"/>
    <col min="17" max="17" width="14.85546875" customWidth="1"/>
    <col min="18" max="18" width="6.140625" customWidth="1"/>
    <col min="19" max="19" width="23.5703125" customWidth="1"/>
    <col min="20" max="20" width="12.5703125" bestFit="1" customWidth="1"/>
    <col min="22" max="22" width="12.140625" customWidth="1"/>
    <col min="24" max="24" width="14.85546875" customWidth="1"/>
  </cols>
  <sheetData>
    <row r="1" spans="1:20" ht="30" x14ac:dyDescent="0.25">
      <c r="A1" s="192" t="s">
        <v>382</v>
      </c>
      <c r="F1" s="149" t="s">
        <v>323</v>
      </c>
      <c r="G1" s="157">
        <f>SUM(I8:I33)</f>
        <v>953.5680000000001</v>
      </c>
      <c r="H1" s="158">
        <f>+G1/Input!G36</f>
        <v>0.94600000000000006</v>
      </c>
      <c r="J1" t="s">
        <v>234</v>
      </c>
      <c r="K1" s="64">
        <f ca="1">COUNTIFS(K8:K33,"&gt;0")</f>
        <v>0</v>
      </c>
      <c r="L1" s="64">
        <f ca="1">COUNTIFS(L8:L33,"&gt;0")</f>
        <v>0</v>
      </c>
      <c r="M1" s="64">
        <f ca="1">COUNTIFS(M8:M33,"&gt;0")</f>
        <v>0</v>
      </c>
      <c r="O1" t="s">
        <v>330</v>
      </c>
    </row>
    <row r="2" spans="1:20" x14ac:dyDescent="0.25">
      <c r="C2" t="s">
        <v>231</v>
      </c>
      <c r="D2" s="67">
        <f>Aantal_Leerlingen</f>
        <v>1008</v>
      </c>
      <c r="O2" t="s">
        <v>331</v>
      </c>
      <c r="P2" s="64">
        <f>MAX(J8:J33)</f>
        <v>3</v>
      </c>
    </row>
    <row r="3" spans="1:20" x14ac:dyDescent="0.25">
      <c r="C3" t="s">
        <v>232</v>
      </c>
      <c r="D3" s="82">
        <f>SUM(D8:D20)</f>
        <v>315.00000000000006</v>
      </c>
      <c r="F3" t="s">
        <v>233</v>
      </c>
      <c r="G3" s="71">
        <f>SUM(H8:H21)</f>
        <v>2.7300000000000004</v>
      </c>
      <c r="K3" s="71">
        <f ca="1">SUM(K8:K21)</f>
        <v>0</v>
      </c>
      <c r="L3" s="71">
        <f ca="1">SUM(L8:L21)</f>
        <v>0</v>
      </c>
      <c r="M3" s="71">
        <f ca="1">SUM(M8:M21)</f>
        <v>0</v>
      </c>
      <c r="O3" t="s">
        <v>485</v>
      </c>
      <c r="P3" s="64">
        <f ca="1">SUM(K1:M1)</f>
        <v>0</v>
      </c>
    </row>
    <row r="4" spans="1:20" ht="15.75" thickBot="1" x14ac:dyDescent="0.3">
      <c r="C4" t="s">
        <v>235</v>
      </c>
      <c r="D4" s="82">
        <f>SUM(D22:D33)</f>
        <v>131.04</v>
      </c>
      <c r="F4" s="154" t="s">
        <v>233</v>
      </c>
      <c r="G4" s="178">
        <f>SUM(H22:H33)</f>
        <v>0.49000000000000005</v>
      </c>
      <c r="K4" s="178">
        <f ca="1">SUM(K22:K33)</f>
        <v>0</v>
      </c>
      <c r="L4" s="178">
        <f ca="1">SUM(L22:L33)</f>
        <v>0</v>
      </c>
      <c r="M4" s="178">
        <f ca="1">SUM(M22:M33)</f>
        <v>0</v>
      </c>
      <c r="O4" t="s">
        <v>332</v>
      </c>
      <c r="P4" s="71">
        <f>G5/P2</f>
        <v>1.0733333333333335</v>
      </c>
    </row>
    <row r="5" spans="1:20" x14ac:dyDescent="0.25">
      <c r="C5" t="s">
        <v>237</v>
      </c>
      <c r="D5" s="82">
        <f>+D3+D4</f>
        <v>446.04000000000008</v>
      </c>
      <c r="F5" t="s">
        <v>233</v>
      </c>
      <c r="G5" s="177">
        <f>+G3+G4</f>
        <v>3.2200000000000006</v>
      </c>
      <c r="K5" s="177">
        <f ca="1">+K3+K4</f>
        <v>0</v>
      </c>
      <c r="L5" s="177">
        <f ca="1">+L3+L4</f>
        <v>0</v>
      </c>
      <c r="M5" s="177">
        <f ca="1">+M3+M4</f>
        <v>0</v>
      </c>
      <c r="O5" t="s">
        <v>333</v>
      </c>
      <c r="P5" s="82">
        <f>+D5/P2</f>
        <v>148.68000000000004</v>
      </c>
    </row>
    <row r="6" spans="1:20" x14ac:dyDescent="0.25">
      <c r="D6" s="66"/>
    </row>
    <row r="7" spans="1:20" ht="56.25" customHeight="1" x14ac:dyDescent="0.25">
      <c r="B7" s="68" t="s">
        <v>239</v>
      </c>
      <c r="C7" s="68" t="s">
        <v>240</v>
      </c>
      <c r="D7" s="68" t="s">
        <v>417</v>
      </c>
      <c r="E7" s="74" t="s">
        <v>190</v>
      </c>
      <c r="F7" s="74" t="s">
        <v>191</v>
      </c>
      <c r="G7" s="74" t="s">
        <v>241</v>
      </c>
      <c r="H7" s="74" t="s">
        <v>359</v>
      </c>
      <c r="I7" s="74" t="s">
        <v>358</v>
      </c>
      <c r="J7" s="165" t="s">
        <v>319</v>
      </c>
      <c r="K7" s="164" t="s">
        <v>327</v>
      </c>
      <c r="L7" s="164" t="s">
        <v>328</v>
      </c>
      <c r="M7" s="164" t="s">
        <v>329</v>
      </c>
      <c r="P7" s="179" t="s">
        <v>334</v>
      </c>
      <c r="Q7" s="179" t="s">
        <v>335</v>
      </c>
      <c r="S7" t="s">
        <v>486</v>
      </c>
    </row>
    <row r="8" spans="1:20" x14ac:dyDescent="0.25">
      <c r="B8" s="64" t="str">
        <f>+Input!B7</f>
        <v>Little gem (sla)</v>
      </c>
      <c r="C8" s="64">
        <f>+Input!C7</f>
        <v>10</v>
      </c>
      <c r="D8" s="65">
        <f>Input!I7*(Inkooplijst!E3="ja")*C8*$D$2/1000</f>
        <v>10.08</v>
      </c>
      <c r="E8" s="64" t="str">
        <f>+Input!E7</f>
        <v>krat I</v>
      </c>
      <c r="F8" s="64">
        <f>+Input!F7</f>
        <v>5</v>
      </c>
      <c r="G8" s="73">
        <f>IF(D8&gt;0,D8/F8,"")</f>
        <v>2.016</v>
      </c>
      <c r="H8" s="70">
        <f>IFERROR(VLOOKUP(E8,Input!$B$47:$C$50,2,FALSE)*ROUNDUP(G8,0),"")</f>
        <v>0.21000000000000002</v>
      </c>
      <c r="I8" s="85">
        <f>+D8*Input!H7</f>
        <v>30.240000000000002</v>
      </c>
      <c r="J8" s="268">
        <f>+Input!G7</f>
        <v>1</v>
      </c>
      <c r="K8" s="166" cm="1">
        <f t="array" aca="1" ref="K8" ca="1">IFERROR(_xlfn.SWITCH(J8,1,H8,2,H8/2,3,H8/3),0)</f>
        <v>0</v>
      </c>
      <c r="L8" s="166" cm="1">
        <f t="array" aca="1" ref="L8" ca="1">IFERROR(_xlfn.SWITCH(J8,1,0,2,H8/2,3,H8/3),0)</f>
        <v>0</v>
      </c>
      <c r="M8" s="166" cm="1">
        <f t="array" aca="1" ref="M8" ca="1">IFERROR(_xlfn.SWITCH(J8,1,0,2,0,3,H8/3),0)</f>
        <v>0</v>
      </c>
      <c r="O8" t="s">
        <v>263</v>
      </c>
      <c r="P8" s="256">
        <f>+Input!C54</f>
        <v>5</v>
      </c>
      <c r="Q8" s="257">
        <f>+Input!C55</f>
        <v>700</v>
      </c>
    </row>
    <row r="9" spans="1:20" x14ac:dyDescent="0.25">
      <c r="B9" s="64" t="str">
        <f>+Input!B8</f>
        <v>Komkommer</v>
      </c>
      <c r="C9" s="64">
        <f>+Input!C8</f>
        <v>120</v>
      </c>
      <c r="D9" s="65">
        <f>Input!I8*(Inkooplijst!E4="ja")*C9*$D$2/1000</f>
        <v>133.05600000000001</v>
      </c>
      <c r="E9" s="64" t="str">
        <f>+Input!E8</f>
        <v>krat III</v>
      </c>
      <c r="F9" s="64">
        <f>+Input!F8</f>
        <v>15</v>
      </c>
      <c r="G9" s="69">
        <f t="shared" ref="G9:G33" si="0">IF(D9&gt;0,D9/F9,"")</f>
        <v>8.8704000000000001</v>
      </c>
      <c r="H9" s="70">
        <f>IFERROR(VLOOKUP(E9,Input!$B$47:$C$50,2,FALSE)*ROUNDUP(G9,0),"")</f>
        <v>0.27</v>
      </c>
      <c r="I9" s="85">
        <f>+D9*Input!H8</f>
        <v>332.64000000000004</v>
      </c>
      <c r="J9" s="268">
        <f>+Input!G8</f>
        <v>1</v>
      </c>
      <c r="K9" s="166" cm="1">
        <f t="array" aca="1" ref="K9" ca="1">IFERROR(_xlfn.SWITCH(J9,1,H9,2,H9/2,3,H9/3),0)</f>
        <v>0</v>
      </c>
      <c r="L9" s="166" cm="1">
        <f t="array" aca="1" ref="L9" ca="1">IFERROR(_xlfn.SWITCH(J9,1,0,2,H9/2,3,H9/3),0)</f>
        <v>0</v>
      </c>
      <c r="M9" s="166" cm="1">
        <f t="array" aca="1" ref="M9" ca="1">IFERROR(_xlfn.SWITCH(J9,1,0,2,0,3,H9/3),0)</f>
        <v>0</v>
      </c>
      <c r="O9" t="s">
        <v>311</v>
      </c>
      <c r="P9" s="256">
        <f>+Input!C58</f>
        <v>33.5</v>
      </c>
      <c r="Q9" s="257">
        <f>+Input!C59</f>
        <v>9500</v>
      </c>
    </row>
    <row r="10" spans="1:20" x14ac:dyDescent="0.25">
      <c r="B10" s="64" t="str">
        <f>+Input!B9</f>
        <v>Cherrytomatenmix</v>
      </c>
      <c r="C10" s="64">
        <f>+Input!C9</f>
        <v>50</v>
      </c>
      <c r="D10" s="65">
        <f>Input!I9*(Inkooplijst!E5="ja")*C10*$D$2/1000</f>
        <v>50.4</v>
      </c>
      <c r="E10" s="64" t="str">
        <f>+Input!E9</f>
        <v>krat I</v>
      </c>
      <c r="F10" s="64">
        <f>+Input!F9</f>
        <v>10</v>
      </c>
      <c r="G10" s="69">
        <f t="shared" si="0"/>
        <v>5.04</v>
      </c>
      <c r="H10" s="70">
        <f>IFERROR(VLOOKUP(E10,Input!$B$47:$C$50,2,FALSE)*ROUNDUP(G10,0),"")</f>
        <v>0.42000000000000004</v>
      </c>
      <c r="I10" s="85">
        <f>+D10*Input!H9</f>
        <v>201.6</v>
      </c>
      <c r="J10" s="268">
        <f>+Input!G9</f>
        <v>1</v>
      </c>
      <c r="K10" s="166" cm="1">
        <f t="array" aca="1" ref="K10" ca="1">IFERROR(_xlfn.SWITCH(J10,1,H10,2,H10/2,3,H10/3),0)</f>
        <v>0</v>
      </c>
      <c r="L10" s="166" cm="1">
        <f t="array" aca="1" ref="L10" ca="1">IFERROR(_xlfn.SWITCH(J10,1,0,2,H10/2,3,H10/3),0)</f>
        <v>0</v>
      </c>
      <c r="M10" s="166" cm="1">
        <f t="array" aca="1" ref="M10" ca="1">IFERROR(_xlfn.SWITCH(J10,1,0,2,0,3,H10/3),0)</f>
        <v>0</v>
      </c>
    </row>
    <row r="11" spans="1:20" x14ac:dyDescent="0.25">
      <c r="B11" s="64" t="str">
        <f>+Input!B10</f>
        <v>Gele paprika</v>
      </c>
      <c r="C11" s="64">
        <f>+Input!C10</f>
        <v>30</v>
      </c>
      <c r="D11" s="65">
        <f>Input!I10*(Inkooplijst!E6="ja")*C11*$D$2/1000</f>
        <v>34.776000000000003</v>
      </c>
      <c r="E11" s="64" t="str">
        <f>+Input!E10</f>
        <v>krat I</v>
      </c>
      <c r="F11" s="64">
        <f>+Input!F10</f>
        <v>5</v>
      </c>
      <c r="G11" s="69">
        <f t="shared" si="0"/>
        <v>6.9552000000000005</v>
      </c>
      <c r="H11" s="70">
        <f>IFERROR(VLOOKUP(E11,Input!$B$47:$C$50,2,FALSE)*ROUNDUP(G11,0),"")</f>
        <v>0.49000000000000005</v>
      </c>
      <c r="I11" s="85">
        <f>+D11*Input!H10</f>
        <v>139.10400000000001</v>
      </c>
      <c r="J11" s="268">
        <f>+Input!G10</f>
        <v>2</v>
      </c>
      <c r="K11" s="166" cm="1">
        <f t="array" aca="1" ref="K11" ca="1">IFERROR(_xlfn.SWITCH(J11,1,H11,2,H11/2,3,H11/3),0)</f>
        <v>0</v>
      </c>
      <c r="L11" s="166" cm="1">
        <f t="array" aca="1" ref="L11" ca="1">IFERROR(_xlfn.SWITCH(J11,1,0,2,H11/2,3,H11/3),0)</f>
        <v>0</v>
      </c>
      <c r="M11" s="166" cm="1">
        <f t="array" aca="1" ref="M11" ca="1">IFERROR(_xlfn.SWITCH(J11,1,0,2,0,3,H11/3),0)</f>
        <v>0</v>
      </c>
      <c r="S11" s="75" t="s">
        <v>341</v>
      </c>
    </row>
    <row r="12" spans="1:20" x14ac:dyDescent="0.25">
      <c r="B12" s="64" t="str">
        <f>+Input!B11</f>
        <v>Radijs</v>
      </c>
      <c r="C12" s="64">
        <f>+Input!C11</f>
        <v>10</v>
      </c>
      <c r="D12" s="65">
        <f>Input!I11*(Inkooplijst!E7="ja")*C12*$D$2/1000</f>
        <v>10.08</v>
      </c>
      <c r="E12" s="64" t="str">
        <f>+Input!E11</f>
        <v>krat II</v>
      </c>
      <c r="F12" s="64">
        <f>+Input!F11</f>
        <v>5</v>
      </c>
      <c r="G12" s="69">
        <f t="shared" si="0"/>
        <v>2.016</v>
      </c>
      <c r="H12" s="70">
        <f>IFERROR(VLOOKUP(E12,Input!$B$47:$C$50,2,FALSE)*ROUNDUP(G12,0),"")</f>
        <v>0.15000000000000002</v>
      </c>
      <c r="I12" s="85">
        <f>+D12*Input!H11</f>
        <v>30.240000000000002</v>
      </c>
      <c r="J12" s="268">
        <f>+Input!G11</f>
        <v>1</v>
      </c>
      <c r="K12" s="166" cm="1">
        <f t="array" aca="1" ref="K12" ca="1">IFERROR(_xlfn.SWITCH(J12,1,H12,2,H12/2,3,H12/3),0)</f>
        <v>0</v>
      </c>
      <c r="L12" s="166" cm="1">
        <f t="array" aca="1" ref="L12" ca="1">IFERROR(_xlfn.SWITCH(J12,1,0,2,H12/2,3,H12/3),0)</f>
        <v>0</v>
      </c>
      <c r="M12" s="166" cm="1">
        <f t="array" aca="1" ref="M12" ca="1">IFERROR(_xlfn.SWITCH(J12,1,0,2,0,3,H12/3),0)</f>
        <v>0</v>
      </c>
      <c r="O12" t="s">
        <v>336</v>
      </c>
      <c r="P12" s="64" t="str">
        <f>IF(OR(P4&gt;P8,P5&gt;Q8),"Bakwagen","Busje")</f>
        <v>Busje</v>
      </c>
      <c r="S12" t="s">
        <v>342</v>
      </c>
      <c r="T12" s="81">
        <f>IF(P12="Busje",Input!C70,Input!C72)</f>
        <v>0.5</v>
      </c>
    </row>
    <row r="13" spans="1:20" x14ac:dyDescent="0.25">
      <c r="B13" s="64" t="str">
        <f>+Input!B12</f>
        <v>Rauwkostmix</v>
      </c>
      <c r="C13" s="64">
        <f>+Input!C12</f>
        <v>20</v>
      </c>
      <c r="D13" s="65">
        <f>Input!I12*(Inkooplijst!E8="ja")*C13*$D$2/1000</f>
        <v>0</v>
      </c>
      <c r="E13" s="64" t="str">
        <f>+Input!E12</f>
        <v>krat I</v>
      </c>
      <c r="F13" s="64">
        <f>+Input!F12</f>
        <v>0</v>
      </c>
      <c r="G13" s="69" t="str">
        <f t="shared" si="0"/>
        <v/>
      </c>
      <c r="H13" s="70" t="str">
        <f>IFERROR(VLOOKUP(E13,Input!$B$47:$C$50,2,FALSE)*ROUNDUP(G13,0),"")</f>
        <v/>
      </c>
      <c r="I13" s="85">
        <f>+D13*Input!H12</f>
        <v>0</v>
      </c>
      <c r="J13" s="268">
        <f>+Input!G12</f>
        <v>0</v>
      </c>
      <c r="K13" s="166" cm="1">
        <f t="array" aca="1" ref="K13" ca="1">IFERROR(_xlfn.SWITCH(J13,1,H13,2,H13/2,3,H13/3),0)</f>
        <v>0</v>
      </c>
      <c r="L13" s="166" cm="1">
        <f t="array" aca="1" ref="L13" ca="1">IFERROR(_xlfn.SWITCH(J13,1,0,2,H13/2,3,H13/3),0)</f>
        <v>0</v>
      </c>
      <c r="M13" s="166" cm="1">
        <f t="array" aca="1" ref="M13" ca="1">IFERROR(_xlfn.SWITCH(J13,1,0,2,0,3,H13/3),0)</f>
        <v>0</v>
      </c>
      <c r="S13" t="s">
        <v>343</v>
      </c>
      <c r="T13" s="81">
        <f>IF(P12="Busje",Input!C71,Input!C73)</f>
        <v>30</v>
      </c>
    </row>
    <row r="14" spans="1:20" x14ac:dyDescent="0.25">
      <c r="B14" s="64" t="str">
        <f>+Input!B13</f>
        <v>Wortel</v>
      </c>
      <c r="C14" s="64">
        <f>+Input!C13</f>
        <v>20</v>
      </c>
      <c r="D14" s="65">
        <f>Input!I13*(Inkooplijst!E9="ja")*C14*$D$2/1000</f>
        <v>0</v>
      </c>
      <c r="E14" s="64" t="str">
        <f>+Input!E13</f>
        <v>krat I</v>
      </c>
      <c r="F14" s="64">
        <f>+Input!F13</f>
        <v>0</v>
      </c>
      <c r="G14" s="69" t="str">
        <f t="shared" si="0"/>
        <v/>
      </c>
      <c r="H14" s="70" t="str">
        <f>IFERROR(VLOOKUP(E14,Input!$B$47:$C$50,2,FALSE)*ROUNDUP(G14,0),"")</f>
        <v/>
      </c>
      <c r="I14" s="85">
        <f>+D14*Input!H13</f>
        <v>0</v>
      </c>
      <c r="J14" s="268">
        <f>+Input!G13</f>
        <v>0</v>
      </c>
      <c r="K14" s="166" cm="1">
        <f t="array" aca="1" ref="K14" ca="1">IFERROR(_xlfn.SWITCH(J14,1,H14,2,H14/2,3,H14/3),0)</f>
        <v>0</v>
      </c>
      <c r="L14" s="166" cm="1">
        <f t="array" aca="1" ref="L14" ca="1">IFERROR(_xlfn.SWITCH(J14,1,0,2,H14/2,3,H14/3),0)</f>
        <v>0</v>
      </c>
      <c r="M14" s="166" cm="1">
        <f t="array" aca="1" ref="M14" ca="1">IFERROR(_xlfn.SWITCH(J14,1,0,2,0,3,H14/3),0)</f>
        <v>0</v>
      </c>
      <c r="O14" s="75" t="s">
        <v>337</v>
      </c>
    </row>
    <row r="15" spans="1:20" x14ac:dyDescent="0.25">
      <c r="B15" s="64" t="str">
        <f>+Input!B14</f>
        <v xml:space="preserve">Rode paprika </v>
      </c>
      <c r="C15" s="64">
        <f>+Input!C14</f>
        <v>40</v>
      </c>
      <c r="D15" s="65">
        <f>Input!I14*(Inkooplijst!E10="ja")*C15*$D$2/1000</f>
        <v>46.368000000000002</v>
      </c>
      <c r="E15" s="64" t="str">
        <f>+Input!E14</f>
        <v>krat I</v>
      </c>
      <c r="F15" s="64">
        <f>+Input!F14</f>
        <v>5</v>
      </c>
      <c r="G15" s="69">
        <f t="shared" si="0"/>
        <v>9.2736000000000001</v>
      </c>
      <c r="H15" s="70">
        <f>IFERROR(VLOOKUP(E15,Input!$B$47:$C$50,2,FALSE)*ROUNDUP(G15,0),"")</f>
        <v>0.70000000000000007</v>
      </c>
      <c r="I15" s="85">
        <f>+D15*Input!H14</f>
        <v>139.10400000000001</v>
      </c>
      <c r="J15" s="268">
        <f>+Input!G14</f>
        <v>3</v>
      </c>
      <c r="K15" s="166" cm="1">
        <f t="array" aca="1" ref="K15" ca="1">IFERROR(_xlfn.SWITCH(J15,1,H15,2,H15/2,3,H15/3),0)</f>
        <v>0</v>
      </c>
      <c r="L15" s="166" cm="1">
        <f t="array" aca="1" ref="L15" ca="1">IFERROR(_xlfn.SWITCH(J15,1,0,2,H15/2,3,H15/3),0)</f>
        <v>0</v>
      </c>
      <c r="M15" s="166" cm="1">
        <f t="array" aca="1" ref="M15" ca="1">IFERROR(_xlfn.SWITCH(J15,1,0,2,0,3,H15/3),0)</f>
        <v>0</v>
      </c>
      <c r="O15" t="s">
        <v>234</v>
      </c>
      <c r="P15" s="144">
        <f ca="1">1+SUM(K1:M1)/P2</f>
        <v>1</v>
      </c>
    </row>
    <row r="16" spans="1:20" x14ac:dyDescent="0.25">
      <c r="B16" s="64" t="str">
        <f>+Input!B15</f>
        <v xml:space="preserve">Avocado </v>
      </c>
      <c r="C16" s="64">
        <f>+Input!C15</f>
        <v>10</v>
      </c>
      <c r="D16" s="65">
        <f>Input!I15*(Inkooplijst!E11="ja")*C16*$D$2/1000</f>
        <v>0</v>
      </c>
      <c r="E16" s="64" t="str">
        <f>+Input!E15</f>
        <v>krat I</v>
      </c>
      <c r="F16" s="64">
        <f>+Input!F15</f>
        <v>0</v>
      </c>
      <c r="G16" s="69" t="str">
        <f t="shared" si="0"/>
        <v/>
      </c>
      <c r="H16" s="70" t="str">
        <f>IFERROR(VLOOKUP(E16,Input!$B$47:$C$50,2,FALSE)*ROUNDUP(G16,0),"")</f>
        <v/>
      </c>
      <c r="I16" s="85">
        <f>+D16*Input!H15</f>
        <v>0</v>
      </c>
      <c r="J16" s="268">
        <f>+Input!G15</f>
        <v>0</v>
      </c>
      <c r="K16" s="166" cm="1">
        <f t="array" aca="1" ref="K16" ca="1">IFERROR(_xlfn.SWITCH(J16,1,H16,2,H16/2,3,H16/3),0)</f>
        <v>0</v>
      </c>
      <c r="L16" s="166" cm="1">
        <f t="array" aca="1" ref="L16" ca="1">IFERROR(_xlfn.SWITCH(J16,1,0,2,H16/2,3,H16/3),0)</f>
        <v>0</v>
      </c>
      <c r="M16" s="166" cm="1">
        <f t="array" aca="1" ref="M16" ca="1">IFERROR(_xlfn.SWITCH(J16,1,0,2,0,3,H16/3),0)</f>
        <v>0</v>
      </c>
      <c r="O16" t="s">
        <v>236</v>
      </c>
      <c r="P16" s="79">
        <f ca="1">(P15)/Input!C62</f>
        <v>0.33333333333333331</v>
      </c>
    </row>
    <row r="17" spans="2:19" x14ac:dyDescent="0.25">
      <c r="B17" s="64" t="str">
        <f>+Input!B16</f>
        <v xml:space="preserve">Bleekselderij </v>
      </c>
      <c r="C17" s="64">
        <f>+Input!C16</f>
        <v>10</v>
      </c>
      <c r="D17" s="65">
        <f>Input!I16*(Inkooplijst!E12="ja")*C17*$D$2/1000</f>
        <v>10.08</v>
      </c>
      <c r="E17" s="64" t="str">
        <f>+Input!E16</f>
        <v>krat I</v>
      </c>
      <c r="F17" s="64">
        <f>+Input!F16</f>
        <v>10</v>
      </c>
      <c r="G17" s="69">
        <f t="shared" si="0"/>
        <v>1.008</v>
      </c>
      <c r="H17" s="70">
        <f>IFERROR(VLOOKUP(E17,Input!$B$47:$C$50,2,FALSE)*ROUNDUP(G17,0),"")</f>
        <v>0.14000000000000001</v>
      </c>
      <c r="I17" s="85">
        <f>+D17*Input!H16</f>
        <v>20.16</v>
      </c>
      <c r="J17" s="268">
        <f>+Input!G16</f>
        <v>1</v>
      </c>
      <c r="K17" s="166" cm="1">
        <f t="array" aca="1" ref="K17" ca="1">IFERROR(_xlfn.SWITCH(J17,1,H17,2,H17/2,3,H17/3),0)</f>
        <v>0</v>
      </c>
      <c r="L17" s="166" cm="1">
        <f t="array" aca="1" ref="L17" ca="1">IFERROR(_xlfn.SWITCH(J17,1,0,2,H17/2,3,H17/3),0)</f>
        <v>0</v>
      </c>
      <c r="M17" s="166" cm="1">
        <f t="array" aca="1" ref="M17" ca="1">IFERROR(_xlfn.SWITCH(J17,1,0,2,0,3,H17/3),0)</f>
        <v>0</v>
      </c>
      <c r="O17" t="s">
        <v>238</v>
      </c>
      <c r="P17" s="64">
        <f ca="1">P15*Input!C69</f>
        <v>15</v>
      </c>
    </row>
    <row r="18" spans="2:19" x14ac:dyDescent="0.25">
      <c r="B18" s="64" t="str">
        <f>+Input!B17</f>
        <v xml:space="preserve">Mais </v>
      </c>
      <c r="C18" s="64">
        <f>+Input!C17</f>
        <v>15</v>
      </c>
      <c r="D18" s="65">
        <f>Input!I17*(Inkooplijst!E13="ja")*C18*$D$2/1000</f>
        <v>0</v>
      </c>
      <c r="E18" s="64" t="str">
        <f>+Input!E17</f>
        <v>krat I</v>
      </c>
      <c r="F18" s="64">
        <f>+Input!F17</f>
        <v>0</v>
      </c>
      <c r="G18" s="69" t="str">
        <f t="shared" si="0"/>
        <v/>
      </c>
      <c r="H18" s="70" t="str">
        <f>IFERROR(VLOOKUP(E18,Input!$B$47:$C$50,2,FALSE)*ROUNDUP(G18,0),"")</f>
        <v/>
      </c>
      <c r="I18" s="85">
        <f>+D18*Input!H17</f>
        <v>0</v>
      </c>
      <c r="J18" s="268">
        <f>+Input!G17</f>
        <v>0</v>
      </c>
      <c r="K18" s="166" cm="1">
        <f t="array" aca="1" ref="K18" ca="1">IFERROR(_xlfn.SWITCH(J18,1,H18,2,H18/2,3,H18/3),0)</f>
        <v>0</v>
      </c>
      <c r="L18" s="166" cm="1">
        <f t="array" aca="1" ref="L18" ca="1">IFERROR(_xlfn.SWITCH(J18,1,0,2,H18/2,3,H18/3),0)</f>
        <v>0</v>
      </c>
      <c r="M18" s="166" cm="1">
        <f t="array" aca="1" ref="M18" ca="1">IFERROR(_xlfn.SWITCH(J18,1,0,2,0,3,H18/3),0)</f>
        <v>0</v>
      </c>
    </row>
    <row r="19" spans="2:19" x14ac:dyDescent="0.25">
      <c r="B19" s="64" t="str">
        <f>+Input!B18</f>
        <v xml:space="preserve">Rode zoete punt paprika </v>
      </c>
      <c r="C19" s="64">
        <f>+Input!C18</f>
        <v>20</v>
      </c>
      <c r="D19" s="65">
        <f>Input!I18*(Inkooplijst!E14="ja")*C19*$D$2/1000</f>
        <v>20.16</v>
      </c>
      <c r="E19" s="64" t="str">
        <f>+Input!E18</f>
        <v>krat I</v>
      </c>
      <c r="F19" s="64">
        <f>+Input!F18</f>
        <v>5</v>
      </c>
      <c r="G19" s="69">
        <f t="shared" si="0"/>
        <v>4.032</v>
      </c>
      <c r="H19" s="70">
        <f>IFERROR(VLOOKUP(E19,Input!$B$47:$C$50,2,FALSE)*ROUNDUP(G19,0),"")</f>
        <v>0.35000000000000003</v>
      </c>
      <c r="I19" s="85">
        <f>+D19*Input!H18</f>
        <v>60.480000000000004</v>
      </c>
      <c r="J19" s="268">
        <f>+Input!G18</f>
        <v>1</v>
      </c>
      <c r="K19" s="166" cm="1">
        <f t="array" aca="1" ref="K19" ca="1">IFERROR(_xlfn.SWITCH(J19,1,H19,2,H19/2,3,H19/3),0)</f>
        <v>0</v>
      </c>
      <c r="L19" s="166" cm="1">
        <f t="array" aca="1" ref="L19" ca="1">IFERROR(_xlfn.SWITCH(J19,1,0,2,H19/2,3,H19/3),0)</f>
        <v>0</v>
      </c>
      <c r="M19" s="166" cm="1">
        <f t="array" aca="1" ref="M19" ca="1">IFERROR(_xlfn.SWITCH(J19,1,0,2,0,3,H19/3),0)</f>
        <v>0</v>
      </c>
      <c r="O19" s="75" t="s">
        <v>340</v>
      </c>
      <c r="S19" s="75" t="s">
        <v>341</v>
      </c>
    </row>
    <row r="20" spans="2:19" x14ac:dyDescent="0.25">
      <c r="B20" s="64" t="str">
        <f>+Input!B19</f>
        <v>Rode biet</v>
      </c>
      <c r="C20" s="64">
        <f>+Input!C19</f>
        <v>10</v>
      </c>
      <c r="D20" s="65">
        <f>Input!I19*(Inkooplijst!E15="ja")*C20*$D$2/1000</f>
        <v>0</v>
      </c>
      <c r="E20" s="64" t="str">
        <f>+Input!E19</f>
        <v>krat I</v>
      </c>
      <c r="F20" s="64">
        <f>+Input!F19</f>
        <v>0</v>
      </c>
      <c r="G20" s="69" t="str">
        <f t="shared" si="0"/>
        <v/>
      </c>
      <c r="H20" s="70" t="str">
        <f>IFERROR(VLOOKUP(E20,Input!$B$47:$C$50,2,FALSE)*ROUNDUP(G20,0),"")</f>
        <v/>
      </c>
      <c r="I20" s="85">
        <f>+D20*Input!H19</f>
        <v>0</v>
      </c>
      <c r="J20" s="268">
        <f>+Input!G19</f>
        <v>0</v>
      </c>
      <c r="K20" s="166" cm="1">
        <f t="array" aca="1" ref="K20" ca="1">IFERROR(_xlfn.SWITCH(J20,1,H20,2,H20/2,3,H20/3),0)</f>
        <v>0</v>
      </c>
      <c r="L20" s="166" cm="1">
        <f t="array" aca="1" ref="L20" ca="1">IFERROR(_xlfn.SWITCH(J20,1,0,2,H20/2,3,H20/3),0)</f>
        <v>0</v>
      </c>
      <c r="M20" s="166" cm="1">
        <f t="array" aca="1" ref="M20" ca="1">IFERROR(_xlfn.SWITCH(J20,1,0,2,0,3,H20/3),0)</f>
        <v>0</v>
      </c>
      <c r="O20" t="s">
        <v>234</v>
      </c>
      <c r="P20" s="64">
        <f ca="1">+P15*3</f>
        <v>3</v>
      </c>
    </row>
    <row r="21" spans="2:19" ht="15.75" thickBot="1" x14ac:dyDescent="0.3">
      <c r="B21" s="160" t="str">
        <f>+Input!B20</f>
        <v>Rettich</v>
      </c>
      <c r="C21" s="160">
        <f>+Input!C20</f>
        <v>10</v>
      </c>
      <c r="D21" s="172">
        <f>Input!I20*(Inkooplijst!E16="ja")*C21*$D$2/1000</f>
        <v>0</v>
      </c>
      <c r="E21" s="160" t="str">
        <f>+Input!E20</f>
        <v>krat I</v>
      </c>
      <c r="F21" s="160">
        <f>+Input!F20</f>
        <v>0</v>
      </c>
      <c r="G21" s="173" t="str">
        <f t="shared" si="0"/>
        <v/>
      </c>
      <c r="H21" s="174" t="str">
        <f>IFERROR(VLOOKUP(E21,Input!$B$47:$C$50,2,FALSE)*ROUNDUP(G21,0),"")</f>
        <v/>
      </c>
      <c r="I21" s="175">
        <f>+D21*Input!H20</f>
        <v>0</v>
      </c>
      <c r="J21" s="269">
        <f>+Input!G20</f>
        <v>0</v>
      </c>
      <c r="K21" s="176" cm="1">
        <f t="array" aca="1" ref="K21" ca="1">IFERROR(_xlfn.SWITCH(J21,1,H21,2,H21/2,3,H21/3),0)</f>
        <v>0</v>
      </c>
      <c r="L21" s="176" cm="1">
        <f t="array" aca="1" ref="L21" ca="1">IFERROR(_xlfn.SWITCH(J21,1,0,2,H21/2,3,H21/3),0)</f>
        <v>0</v>
      </c>
      <c r="M21" s="176" cm="1">
        <f t="array" aca="1" ref="M21" ca="1">IFERROR(_xlfn.SWITCH(J21,1,0,2,0,3,H21/3),0)</f>
        <v>0</v>
      </c>
      <c r="O21" t="s">
        <v>338</v>
      </c>
      <c r="P21" s="64">
        <f ca="1">+P17*P2</f>
        <v>45</v>
      </c>
      <c r="S21" s="162">
        <f ca="1">+T12*P21</f>
        <v>22.5</v>
      </c>
    </row>
    <row r="22" spans="2:19" x14ac:dyDescent="0.25">
      <c r="B22" s="167" t="str">
        <f>+Input!B21</f>
        <v>Nectarine</v>
      </c>
      <c r="C22" s="167">
        <f>+Input!C21</f>
        <v>15</v>
      </c>
      <c r="D22" s="168">
        <f>Input!I21*(Inkooplijst!E17="ja")*C22*$D$2/1000</f>
        <v>0</v>
      </c>
      <c r="E22" s="167" t="str">
        <f>+Input!E21</f>
        <v>krat I</v>
      </c>
      <c r="F22" s="167">
        <f>+Input!F21</f>
        <v>0</v>
      </c>
      <c r="G22" s="73" t="str">
        <f t="shared" si="0"/>
        <v/>
      </c>
      <c r="H22" s="169" t="str">
        <f>IFERROR(VLOOKUP(E22,Input!$B$47:$C$50,2,FALSE)*ROUNDUP(G22,0),"")</f>
        <v/>
      </c>
      <c r="I22" s="170">
        <f>+D22*Input!H21</f>
        <v>0</v>
      </c>
      <c r="J22" s="270">
        <f>+Input!G21</f>
        <v>0</v>
      </c>
      <c r="K22" s="171" cm="1">
        <f t="array" aca="1" ref="K22" ca="1">IFERROR(_xlfn.SWITCH(J22,1,H22,2,H22/2,3,H22/3),0)</f>
        <v>0</v>
      </c>
      <c r="L22" s="171" cm="1">
        <f t="array" aca="1" ref="L22" ca="1">IFERROR(_xlfn.SWITCH(J22,1,0,2,H22/2,3,H22/3),0)</f>
        <v>0</v>
      </c>
      <c r="M22" s="171" cm="1">
        <f t="array" aca="1" ref="M22" ca="1">IFERROR(_xlfn.SWITCH(J22,1,0,2,0,3,H22/3),0)</f>
        <v>0</v>
      </c>
      <c r="O22" t="s">
        <v>339</v>
      </c>
      <c r="P22" s="79">
        <f ca="1">+P16*P2</f>
        <v>1</v>
      </c>
      <c r="S22" s="162">
        <f ca="1">+T13*P22</f>
        <v>30</v>
      </c>
    </row>
    <row r="23" spans="2:19" x14ac:dyDescent="0.25">
      <c r="B23" s="64" t="str">
        <f>+Input!B22</f>
        <v>Mandarijn</v>
      </c>
      <c r="C23" s="64">
        <f>+Input!C22</f>
        <v>60</v>
      </c>
      <c r="D23" s="65">
        <f>Input!I22*(Inkooplijst!E18="ja")*C23*$D$2/1000</f>
        <v>0</v>
      </c>
      <c r="E23" s="64" t="str">
        <f>+Input!E22</f>
        <v>krat I</v>
      </c>
      <c r="F23" s="64">
        <f>+Input!F22</f>
        <v>0</v>
      </c>
      <c r="G23" s="69" t="str">
        <f t="shared" si="0"/>
        <v/>
      </c>
      <c r="H23" s="70" t="str">
        <f>IFERROR(VLOOKUP(E23,Input!$B$47:$C$50,2,FALSE)*ROUNDUP(G23,0),"")</f>
        <v/>
      </c>
      <c r="I23" s="85">
        <f>+D23*Input!H22</f>
        <v>0</v>
      </c>
      <c r="J23" s="268">
        <f>+Input!G22</f>
        <v>0</v>
      </c>
      <c r="K23" s="166" cm="1">
        <f t="array" aca="1" ref="K23" ca="1">IFERROR(_xlfn.SWITCH(J23,1,H23,2,H23/2,3,H23/3),0)</f>
        <v>0</v>
      </c>
      <c r="L23" s="166" cm="1">
        <f t="array" aca="1" ref="L23" ca="1">IFERROR(_xlfn.SWITCH(J23,1,0,2,H23/2,3,H23/3),0)</f>
        <v>0</v>
      </c>
      <c r="M23" s="166" cm="1">
        <f t="array" aca="1" ref="M23" ca="1">IFERROR(_xlfn.SWITCH(J23,1,0,2,0,3,H23/3),0)</f>
        <v>0</v>
      </c>
      <c r="O23" t="s">
        <v>345</v>
      </c>
      <c r="S23" s="162">
        <f ca="1">+S21+S22</f>
        <v>52.5</v>
      </c>
    </row>
    <row r="24" spans="2:19" x14ac:dyDescent="0.25">
      <c r="B24" s="64" t="str">
        <f>+Input!B23</f>
        <v>Blauwe druiven</v>
      </c>
      <c r="C24" s="64">
        <f>+Input!C23</f>
        <v>10</v>
      </c>
      <c r="D24" s="65">
        <f>Input!I23*(Inkooplijst!E19="ja")*C24*$D$2/1000</f>
        <v>0</v>
      </c>
      <c r="E24" s="64" t="str">
        <f>+Input!E23</f>
        <v>krat I</v>
      </c>
      <c r="F24" s="64">
        <f>+Input!F23</f>
        <v>0</v>
      </c>
      <c r="G24" s="69" t="str">
        <f t="shared" si="0"/>
        <v/>
      </c>
      <c r="H24" s="70" t="str">
        <f>IFERROR(VLOOKUP(E24,Input!$B$47:$C$50,2,FALSE)*ROUNDUP(G24,0),"")</f>
        <v/>
      </c>
      <c r="I24" s="85">
        <f>+D24*Input!H23</f>
        <v>0</v>
      </c>
      <c r="J24" s="268">
        <f>+Input!G23</f>
        <v>0</v>
      </c>
      <c r="K24" s="166" cm="1">
        <f t="array" aca="1" ref="K24" ca="1">IFERROR(_xlfn.SWITCH(J24,1,H24,2,H24/2,3,H24/3),0)</f>
        <v>0</v>
      </c>
      <c r="L24" s="166" cm="1">
        <f t="array" aca="1" ref="L24" ca="1">IFERROR(_xlfn.SWITCH(J24,1,0,2,H24/2,3,H24/3),0)</f>
        <v>0</v>
      </c>
      <c r="M24" s="166" cm="1">
        <f t="array" aca="1" ref="M24" ca="1">IFERROR(_xlfn.SWITCH(J24,1,0,2,0,3,H24/3),0)</f>
        <v>0</v>
      </c>
    </row>
    <row r="25" spans="2:19" x14ac:dyDescent="0.25">
      <c r="B25" s="64" t="str">
        <f>+Input!B24</f>
        <v xml:space="preserve">Witte druiven </v>
      </c>
      <c r="C25" s="64">
        <f>+Input!C24</f>
        <v>10</v>
      </c>
      <c r="D25" s="65">
        <f>Input!I24*(Inkooplijst!E20="ja")*C25*$D$2/1000</f>
        <v>0</v>
      </c>
      <c r="E25" s="64" t="str">
        <f>+Input!E24</f>
        <v>krat I</v>
      </c>
      <c r="F25" s="64">
        <f>+Input!F24</f>
        <v>0</v>
      </c>
      <c r="G25" s="69" t="str">
        <f t="shared" si="0"/>
        <v/>
      </c>
      <c r="H25" s="70" t="str">
        <f>IFERROR(VLOOKUP(E25,Input!$B$47:$C$50,2,FALSE)*ROUNDUP(G25,0),"")</f>
        <v/>
      </c>
      <c r="I25" s="85">
        <f>+D25*Input!H24</f>
        <v>0</v>
      </c>
      <c r="J25" s="268">
        <f>+Input!G24</f>
        <v>0</v>
      </c>
      <c r="K25" s="166" cm="1">
        <f t="array" aca="1" ref="K25" ca="1">IFERROR(_xlfn.SWITCH(J25,1,H25,2,H25/2,3,H25/3),0)</f>
        <v>0</v>
      </c>
      <c r="L25" s="166" cm="1">
        <f t="array" aca="1" ref="L25" ca="1">IFERROR(_xlfn.SWITCH(J25,1,0,2,H25/2,3,H25/3),0)</f>
        <v>0</v>
      </c>
      <c r="M25" s="166" cm="1">
        <f t="array" aca="1" ref="M25" ca="1">IFERROR(_xlfn.SWITCH(J25,1,0,2,0,3,H25/3),0)</f>
        <v>0</v>
      </c>
      <c r="P25" t="s">
        <v>344</v>
      </c>
      <c r="S25" s="180">
        <f ca="1">+S23/Aantal_Leerlingen/Aantal_lunches_per_school_per_week</f>
        <v>1.3020833333333334E-2</v>
      </c>
    </row>
    <row r="26" spans="2:19" x14ac:dyDescent="0.25">
      <c r="B26" s="64" t="str">
        <f>+Input!B25</f>
        <v>Jonagold appel</v>
      </c>
      <c r="C26" s="64">
        <f>+Input!C25</f>
        <v>120</v>
      </c>
      <c r="D26" s="65">
        <f>Input!I25*(Inkooplijst!E21="ja")*C26*$D$2/1000</f>
        <v>120.96</v>
      </c>
      <c r="E26" s="64" t="str">
        <f>+Input!E25</f>
        <v>krat I</v>
      </c>
      <c r="F26" s="64">
        <f>+Input!F25</f>
        <v>25</v>
      </c>
      <c r="G26" s="69">
        <f t="shared" si="0"/>
        <v>4.8384</v>
      </c>
      <c r="H26" s="70">
        <f>IFERROR(VLOOKUP(E26,Input!$B$47:$C$50,2,FALSE)*ROUNDUP(G26,0),"")</f>
        <v>0.35000000000000003</v>
      </c>
      <c r="I26" s="85">
        <f>+D26*Input!H25</f>
        <v>0</v>
      </c>
      <c r="J26" s="268">
        <f>+Input!G25</f>
        <v>1</v>
      </c>
      <c r="K26" s="166" cm="1">
        <f t="array" aca="1" ref="K26" ca="1">IFERROR(_xlfn.SWITCH(J26,1,H26,2,H26/2,3,H26/3),0)</f>
        <v>0</v>
      </c>
      <c r="L26" s="166" cm="1">
        <f t="array" aca="1" ref="L26" ca="1">IFERROR(_xlfn.SWITCH(J26,1,0,2,H26/2,3,H26/3),0)</f>
        <v>0</v>
      </c>
      <c r="M26" s="166" cm="1">
        <f t="array" aca="1" ref="M26" ca="1">IFERROR(_xlfn.SWITCH(J26,1,0,2,0,3,H26/3),0)</f>
        <v>0</v>
      </c>
    </row>
    <row r="27" spans="2:19" x14ac:dyDescent="0.25">
      <c r="B27" s="64" t="str">
        <f>+Input!B26</f>
        <v>Mango</v>
      </c>
      <c r="C27" s="64">
        <f>+Input!C26</f>
        <v>10</v>
      </c>
      <c r="D27" s="65">
        <f>Input!I26*(Inkooplijst!E22="ja")*C27*$D$2/1000</f>
        <v>0</v>
      </c>
      <c r="E27" s="64" t="str">
        <f>+Input!E26</f>
        <v>krat I</v>
      </c>
      <c r="F27" s="64">
        <f>+Input!F26</f>
        <v>0</v>
      </c>
      <c r="G27" s="69" t="str">
        <f t="shared" si="0"/>
        <v/>
      </c>
      <c r="H27" s="70" t="str">
        <f>IFERROR(VLOOKUP(E27,Input!$B$47:$C$50,2,FALSE)*ROUNDUP(G27,0),"")</f>
        <v/>
      </c>
      <c r="I27" s="85">
        <f>+D27*Input!H26</f>
        <v>0</v>
      </c>
      <c r="J27" s="268">
        <f>+Input!G26</f>
        <v>0</v>
      </c>
      <c r="K27" s="166" cm="1">
        <f t="array" aca="1" ref="K27" ca="1">IFERROR(_xlfn.SWITCH(J27,1,H27,2,H27/2,3,H27/3),0)</f>
        <v>0</v>
      </c>
      <c r="L27" s="166" cm="1">
        <f t="array" aca="1" ref="L27" ca="1">IFERROR(_xlfn.SWITCH(J27,1,0,2,H27/2,3,H27/3),0)</f>
        <v>0</v>
      </c>
      <c r="M27" s="166" cm="1">
        <f t="array" aca="1" ref="M27" ca="1">IFERROR(_xlfn.SWITCH(J27,1,0,2,0,3,H27/3),0)</f>
        <v>0</v>
      </c>
    </row>
    <row r="28" spans="2:19" x14ac:dyDescent="0.25">
      <c r="B28" s="64" t="str">
        <f>+Input!B27</f>
        <v>Kiwi</v>
      </c>
      <c r="C28" s="64">
        <f>+Input!C27</f>
        <v>10</v>
      </c>
      <c r="D28" s="65">
        <f>Input!I27*(Inkooplijst!E23="ja")*C28*$D$2/1000</f>
        <v>0</v>
      </c>
      <c r="E28" s="64" t="str">
        <f>+Input!E27</f>
        <v>krat I</v>
      </c>
      <c r="F28" s="64">
        <f>+Input!F27</f>
        <v>0</v>
      </c>
      <c r="G28" s="69" t="str">
        <f t="shared" si="0"/>
        <v/>
      </c>
      <c r="H28" s="70" t="str">
        <f>IFERROR(VLOOKUP(E28,Input!$B$47:$C$50,2,FALSE)*ROUNDUP(G28,0),"")</f>
        <v/>
      </c>
      <c r="I28" s="85">
        <f>+D28*Input!H27</f>
        <v>0</v>
      </c>
      <c r="J28" s="268">
        <f>+Input!G27</f>
        <v>0</v>
      </c>
      <c r="K28" s="166" cm="1">
        <f t="array" aca="1" ref="K28" ca="1">IFERROR(_xlfn.SWITCH(J28,1,H28,2,H28/2,3,H28/3),0)</f>
        <v>0</v>
      </c>
      <c r="L28" s="166" cm="1">
        <f t="array" aca="1" ref="L28" ca="1">IFERROR(_xlfn.SWITCH(J28,1,0,2,H28/2,3,H28/3),0)</f>
        <v>0</v>
      </c>
      <c r="M28" s="166" cm="1">
        <f t="array" aca="1" ref="M28" ca="1">IFERROR(_xlfn.SWITCH(J28,1,0,2,0,3,H28/3),0)</f>
        <v>0</v>
      </c>
    </row>
    <row r="29" spans="2:19" x14ac:dyDescent="0.25">
      <c r="B29" s="64" t="str">
        <f>+Input!B28</f>
        <v>Fruitsalade</v>
      </c>
      <c r="C29" s="64">
        <f>+Input!C28</f>
        <v>100</v>
      </c>
      <c r="D29" s="65">
        <f>Input!I28*(Inkooplijst!E24="ja")*C29*$D$2/1000</f>
        <v>0</v>
      </c>
      <c r="E29" s="64" t="str">
        <f>+Input!E28</f>
        <v>krat I</v>
      </c>
      <c r="F29" s="64">
        <f>+Input!F28</f>
        <v>0</v>
      </c>
      <c r="G29" s="69" t="str">
        <f t="shared" si="0"/>
        <v/>
      </c>
      <c r="H29" s="70" t="str">
        <f>IFERROR(VLOOKUP(E29,Input!$B$47:$C$50,2,FALSE)*ROUNDUP(G29,0),"")</f>
        <v/>
      </c>
      <c r="I29" s="85">
        <f>+D29*Input!H28</f>
        <v>0</v>
      </c>
      <c r="J29" s="268">
        <f>+Input!G28</f>
        <v>0</v>
      </c>
      <c r="K29" s="166" cm="1">
        <f t="array" aca="1" ref="K29" ca="1">IFERROR(_xlfn.SWITCH(J29,1,H29,2,H29/2,3,H29/3),0)</f>
        <v>0</v>
      </c>
      <c r="L29" s="166" cm="1">
        <f t="array" aca="1" ref="L29" ca="1">IFERROR(_xlfn.SWITCH(J29,1,0,2,H29/2,3,H29/3),0)</f>
        <v>0</v>
      </c>
      <c r="M29" s="166" cm="1">
        <f t="array" aca="1" ref="M29" ca="1">IFERROR(_xlfn.SWITCH(J29,1,0,2,0,3,H29/3),0)</f>
        <v>0</v>
      </c>
    </row>
    <row r="30" spans="2:19" x14ac:dyDescent="0.25">
      <c r="B30" s="64" t="str">
        <f>+Input!B29</f>
        <v>Abrikozen (2 stuks pp)</v>
      </c>
      <c r="C30" s="64">
        <f>+Input!C29</f>
        <v>10</v>
      </c>
      <c r="D30" s="65">
        <f>Input!I29*(Inkooplijst!E25="ja")*C30*$D$2/1000</f>
        <v>0</v>
      </c>
      <c r="E30" s="64" t="str">
        <f>+Input!E29</f>
        <v>krat I</v>
      </c>
      <c r="F30" s="64">
        <f>+Input!F29</f>
        <v>0</v>
      </c>
      <c r="G30" s="69" t="str">
        <f t="shared" si="0"/>
        <v/>
      </c>
      <c r="H30" s="70" t="str">
        <f>IFERROR(VLOOKUP(E30,Input!$B$47:$C$50,2,FALSE)*ROUNDUP(G30,0),"")</f>
        <v/>
      </c>
      <c r="I30" s="85">
        <f>+D30*Input!H29</f>
        <v>0</v>
      </c>
      <c r="J30" s="268">
        <f>+Input!G29</f>
        <v>0</v>
      </c>
      <c r="K30" s="166" cm="1">
        <f t="array" aca="1" ref="K30" ca="1">IFERROR(_xlfn.SWITCH(J30,1,H30,2,H30/2,3,H30/3),0)</f>
        <v>0</v>
      </c>
      <c r="L30" s="166" cm="1">
        <f t="array" aca="1" ref="L30" ca="1">IFERROR(_xlfn.SWITCH(J30,1,0,2,H30/2,3,H30/3),0)</f>
        <v>0</v>
      </c>
      <c r="M30" s="166" cm="1">
        <f t="array" aca="1" ref="M30" ca="1">IFERROR(_xlfn.SWITCH(J30,1,0,2,0,3,H30/3),0)</f>
        <v>0</v>
      </c>
    </row>
    <row r="31" spans="2:19" x14ac:dyDescent="0.25">
      <c r="B31" s="64" t="str">
        <f>+Input!B30</f>
        <v>Bramen</v>
      </c>
      <c r="C31" s="64">
        <f>+Input!C30</f>
        <v>10</v>
      </c>
      <c r="D31" s="65">
        <f>Input!I30*(Inkooplijst!E26="ja")*C31*$D$2/1000</f>
        <v>10.08</v>
      </c>
      <c r="E31" s="64" t="str">
        <f>+Input!E30</f>
        <v>krat I</v>
      </c>
      <c r="F31" s="64">
        <f>+Input!F30</f>
        <v>6</v>
      </c>
      <c r="G31" s="69">
        <f t="shared" si="0"/>
        <v>1.68</v>
      </c>
      <c r="H31" s="70">
        <f>IFERROR(VLOOKUP(E31,Input!$B$47:$C$50,2,FALSE)*ROUNDUP(G31,0),"")</f>
        <v>0.14000000000000001</v>
      </c>
      <c r="I31" s="85">
        <f>+D31*Input!H30</f>
        <v>0</v>
      </c>
      <c r="J31" s="268">
        <f>+Input!G30</f>
        <v>1</v>
      </c>
      <c r="K31" s="166" cm="1">
        <f t="array" aca="1" ref="K31" ca="1">IFERROR(_xlfn.SWITCH(J31,1,H31,2,H31/2,3,H31/3),0)</f>
        <v>0</v>
      </c>
      <c r="L31" s="166" cm="1">
        <f t="array" aca="1" ref="L31" ca="1">IFERROR(_xlfn.SWITCH(J31,1,0,2,H31/2,3,H31/3),0)</f>
        <v>0</v>
      </c>
      <c r="M31" s="166" cm="1">
        <f t="array" aca="1" ref="M31" ca="1">IFERROR(_xlfn.SWITCH(J31,1,0,2,0,3,H31/3),0)</f>
        <v>0</v>
      </c>
    </row>
    <row r="32" spans="2:19" x14ac:dyDescent="0.25">
      <c r="B32" s="64" t="str">
        <f>+Input!B31</f>
        <v>Granaatappel</v>
      </c>
      <c r="C32" s="64">
        <f>+Input!C31</f>
        <v>10</v>
      </c>
      <c r="D32" s="65">
        <f>Input!I31*(Inkooplijst!E27="ja")*C32*$D$2/1000</f>
        <v>0</v>
      </c>
      <c r="E32" s="64" t="str">
        <f>+Input!E31</f>
        <v>krat I</v>
      </c>
      <c r="F32" s="64">
        <f>+Input!F31</f>
        <v>0</v>
      </c>
      <c r="G32" s="69" t="str">
        <f t="shared" si="0"/>
        <v/>
      </c>
      <c r="H32" s="70" t="str">
        <f>IFERROR(VLOOKUP(E32,Input!$B$47:$C$50,2,FALSE)*ROUNDUP(G32,0),"")</f>
        <v/>
      </c>
      <c r="I32" s="85">
        <f>+D32*Input!H31</f>
        <v>0</v>
      </c>
      <c r="J32" s="268">
        <f>+Input!G31</f>
        <v>0</v>
      </c>
      <c r="K32" s="166" cm="1">
        <f t="array" aca="1" ref="K32" ca="1">IFERROR(_xlfn.SWITCH(J32,1,H32,2,H32/2,3,H32/3),0)</f>
        <v>0</v>
      </c>
      <c r="L32" s="166" cm="1">
        <f t="array" aca="1" ref="L32" ca="1">IFERROR(_xlfn.SWITCH(J32,1,0,2,H32/2,3,H32/3),0)</f>
        <v>0</v>
      </c>
      <c r="M32" s="166" cm="1">
        <f t="array" aca="1" ref="M32" ca="1">IFERROR(_xlfn.SWITCH(J32,1,0,2,0,3,H32/3),0)</f>
        <v>0</v>
      </c>
    </row>
    <row r="33" spans="2:13" x14ac:dyDescent="0.25">
      <c r="B33" s="64" t="str">
        <f>+Input!B32</f>
        <v>Tuttifrutti</v>
      </c>
      <c r="C33" s="64">
        <f>+Input!C32</f>
        <v>10</v>
      </c>
      <c r="D33" s="65">
        <f>Input!I32*(Inkooplijst!E28="ja")*C33*$D$2/1000</f>
        <v>0</v>
      </c>
      <c r="E33" s="64" t="str">
        <f>+Input!E32</f>
        <v>krat I</v>
      </c>
      <c r="F33" s="64">
        <f>+Input!F32</f>
        <v>0</v>
      </c>
      <c r="G33" s="69" t="str">
        <f t="shared" si="0"/>
        <v/>
      </c>
      <c r="H33" s="70" t="str">
        <f>IFERROR(VLOOKUP(E33,Input!$B$47:$C$50,2,FALSE)*ROUNDUP(G33,0),"")</f>
        <v/>
      </c>
      <c r="I33" s="85">
        <f>+D33*Input!H32</f>
        <v>0</v>
      </c>
      <c r="J33" s="268">
        <f>+Input!G32</f>
        <v>0</v>
      </c>
      <c r="K33" s="166" cm="1">
        <f t="array" aca="1" ref="K33" ca="1">IFERROR(_xlfn.SWITCH(J33,1,H33,2,H33/2,3,H33/3),0)</f>
        <v>0</v>
      </c>
      <c r="L33" s="166" cm="1">
        <f t="array" aca="1" ref="L33" ca="1">IFERROR(_xlfn.SWITCH(J33,1,0,2,H33/2,3,H33/3),0)</f>
        <v>0</v>
      </c>
      <c r="M33" s="166" cm="1">
        <f t="array" aca="1" ref="M33" ca="1">IFERROR(_xlfn.SWITCH(J33,1,0,2,0,3,H33/3),0)</f>
        <v>0</v>
      </c>
    </row>
  </sheetData>
  <phoneticPr fontId="25" type="noConversion"/>
  <conditionalFormatting sqref="J8:J33">
    <cfRule type="cellIs" dxfId="1" priority="1" operator="equal">
      <formula>2</formula>
    </cfRule>
    <cfRule type="cellIs" dxfId="0" priority="2" operator="equal">
      <formula>3</formula>
    </cfRule>
  </conditionalFormatting>
  <hyperlinks>
    <hyperlink ref="A1" location="Input!A1" display="naar input"/>
  </hyperlinks>
  <pageMargins left="0.7" right="0.7" top="0.75" bottom="0.75" header="0.3" footer="0.3"/>
  <pageSetup paperSize="9" orientation="portrait"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4" tint="0.59999389629810485"/>
  </sheetPr>
  <dimension ref="A1:K16"/>
  <sheetViews>
    <sheetView zoomScaleNormal="100" workbookViewId="0">
      <selection activeCell="F23" sqref="F23"/>
    </sheetView>
  </sheetViews>
  <sheetFormatPr defaultRowHeight="15" x14ac:dyDescent="0.25"/>
  <cols>
    <col min="1" max="1" width="6.7109375" customWidth="1"/>
    <col min="2" max="2" width="35.5703125" customWidth="1"/>
    <col min="4" max="4" width="9.28515625" customWidth="1"/>
    <col min="5" max="5" width="20.85546875" customWidth="1"/>
    <col min="7" max="7" width="12.140625" customWidth="1"/>
    <col min="10" max="10" width="11" customWidth="1"/>
    <col min="11" max="11" width="7" customWidth="1"/>
  </cols>
  <sheetData>
    <row r="1" spans="1:11" x14ac:dyDescent="0.25">
      <c r="A1" s="192" t="s">
        <v>382</v>
      </c>
    </row>
    <row r="2" spans="1:11" ht="15.75" x14ac:dyDescent="0.25">
      <c r="B2" s="189" t="s">
        <v>366</v>
      </c>
    </row>
    <row r="3" spans="1:11" x14ac:dyDescent="0.25">
      <c r="F3" s="206" t="s">
        <v>361</v>
      </c>
      <c r="G3" s="206" t="s">
        <v>346</v>
      </c>
    </row>
    <row r="4" spans="1:11" x14ac:dyDescent="0.25">
      <c r="B4" s="75" t="s">
        <v>369</v>
      </c>
      <c r="E4" t="s">
        <v>370</v>
      </c>
      <c r="F4" s="65">
        <f>C5*C6*C7</f>
        <v>4838.3999999999996</v>
      </c>
      <c r="G4" s="205">
        <f>+F4/60</f>
        <v>80.64</v>
      </c>
    </row>
    <row r="5" spans="1:11" ht="15.75" thickBot="1" x14ac:dyDescent="0.3">
      <c r="B5" t="s">
        <v>200</v>
      </c>
      <c r="C5" s="64">
        <f>Aantal_Leerlingen</f>
        <v>1008</v>
      </c>
      <c r="E5" s="154" t="s">
        <v>371</v>
      </c>
      <c r="F5" s="172">
        <f>+F4*C8</f>
        <v>483.84</v>
      </c>
      <c r="G5" s="272">
        <f>+F5/60</f>
        <v>8.0640000000000001</v>
      </c>
      <c r="H5" s="154" t="s">
        <v>418</v>
      </c>
    </row>
    <row r="6" spans="1:11" x14ac:dyDescent="0.25">
      <c r="B6" t="s">
        <v>252</v>
      </c>
      <c r="C6" s="64">
        <f>Aantal_lunches_per_school_per_week</f>
        <v>4</v>
      </c>
      <c r="E6" t="s">
        <v>242</v>
      </c>
      <c r="F6" s="168">
        <f>+F4+F5</f>
        <v>5322.24</v>
      </c>
      <c r="G6" s="271">
        <f>+G4+G5</f>
        <v>88.704000000000008</v>
      </c>
    </row>
    <row r="7" spans="1:11" x14ac:dyDescent="0.25">
      <c r="B7" t="s">
        <v>362</v>
      </c>
      <c r="C7" s="64">
        <f>Netto_productietijd_per_lunch_in_min</f>
        <v>1.2</v>
      </c>
      <c r="J7" s="207" t="s">
        <v>347</v>
      </c>
    </row>
    <row r="8" spans="1:11" x14ac:dyDescent="0.25">
      <c r="B8" t="s">
        <v>363</v>
      </c>
      <c r="C8" s="194">
        <f>Management_opslag__voorbereiding</f>
        <v>0.1</v>
      </c>
      <c r="E8" t="s">
        <v>372</v>
      </c>
      <c r="G8" s="162">
        <f>+G6*C9</f>
        <v>2528.0640000000003</v>
      </c>
      <c r="H8" s="188">
        <f>+G8/$G$14</f>
        <v>0.22085210412214212</v>
      </c>
      <c r="J8" s="81">
        <f>+G8/($C$5*$C$6)</f>
        <v>0.62700000000000011</v>
      </c>
    </row>
    <row r="9" spans="1:11" x14ac:dyDescent="0.25">
      <c r="B9" t="s">
        <v>308</v>
      </c>
      <c r="C9" s="85">
        <f>Uurtarief_professional</f>
        <v>28.5</v>
      </c>
      <c r="G9" s="191"/>
    </row>
    <row r="10" spans="1:11" x14ac:dyDescent="0.25">
      <c r="B10" t="s">
        <v>367</v>
      </c>
      <c r="C10" s="64">
        <f>Aantal_werkdagen_op_de_Hub</f>
        <v>5</v>
      </c>
      <c r="E10" t="s">
        <v>373</v>
      </c>
      <c r="G10" s="162">
        <f>+C10*C11</f>
        <v>250</v>
      </c>
      <c r="H10" s="188">
        <f>+G10/$G$14</f>
        <v>2.1840042827450383E-2</v>
      </c>
      <c r="J10" s="81">
        <f>+G10/($C$5*$C$6)</f>
        <v>6.2003968253968256E-2</v>
      </c>
    </row>
    <row r="11" spans="1:11" x14ac:dyDescent="0.25">
      <c r="B11" t="s">
        <v>368</v>
      </c>
      <c r="C11" s="85">
        <f>Vaste_kosten_Hub_per_werkdag</f>
        <v>50</v>
      </c>
      <c r="G11" s="191"/>
    </row>
    <row r="12" spans="1:11" ht="15.75" thickBot="1" x14ac:dyDescent="0.3">
      <c r="B12" t="s">
        <v>365</v>
      </c>
      <c r="C12" s="85">
        <f>Inkoop_kosten_per_lunch</f>
        <v>2.15</v>
      </c>
      <c r="E12" s="154" t="s">
        <v>309</v>
      </c>
      <c r="F12" s="154"/>
      <c r="G12" s="162">
        <f>+C12*C5*C6</f>
        <v>8668.7999999999993</v>
      </c>
      <c r="H12" s="190">
        <f>+G12/$G$14</f>
        <v>0.75730785305040749</v>
      </c>
      <c r="I12" s="154"/>
      <c r="J12" s="208">
        <f>+G12/($C$5*$C$6)</f>
        <v>2.15</v>
      </c>
      <c r="K12" s="154" t="s">
        <v>418</v>
      </c>
    </row>
    <row r="13" spans="1:11" x14ac:dyDescent="0.25">
      <c r="G13" s="191"/>
    </row>
    <row r="14" spans="1:11" x14ac:dyDescent="0.25">
      <c r="E14" t="s">
        <v>374</v>
      </c>
      <c r="G14" s="162">
        <f>+G8+G10+G12</f>
        <v>11446.864</v>
      </c>
      <c r="J14" s="81">
        <f>+G14/($C$5*$C$6)</f>
        <v>2.8390039682539681</v>
      </c>
    </row>
    <row r="16" spans="1:11" x14ac:dyDescent="0.25">
      <c r="G16" s="80"/>
    </row>
  </sheetData>
  <hyperlinks>
    <hyperlink ref="A1" location="Input!A1" display="naar input"/>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4" tint="0.59999389629810485"/>
  </sheetPr>
  <dimension ref="C1:R62"/>
  <sheetViews>
    <sheetView topLeftCell="A36" zoomScaleNormal="100" workbookViewId="0">
      <selection activeCell="Q8" sqref="Q8"/>
    </sheetView>
  </sheetViews>
  <sheetFormatPr defaultRowHeight="15" x14ac:dyDescent="0.25"/>
  <cols>
    <col min="1" max="1" width="5.7109375" customWidth="1"/>
    <col min="2" max="2" width="6.140625" customWidth="1"/>
    <col min="3" max="3" width="44.140625" customWidth="1"/>
    <col min="4" max="4" width="16.5703125" customWidth="1"/>
    <col min="5" max="5" width="14.140625" customWidth="1"/>
    <col min="6" max="6" width="18.7109375" customWidth="1"/>
    <col min="7" max="7" width="15.7109375" customWidth="1"/>
    <col min="8" max="8" width="16.28515625" customWidth="1"/>
    <col min="9" max="9" width="15" customWidth="1"/>
    <col min="18" max="18" width="20.140625" customWidth="1"/>
    <col min="28" max="28" width="13.140625" customWidth="1"/>
  </cols>
  <sheetData>
    <row r="1" spans="3:18" x14ac:dyDescent="0.25">
      <c r="C1" s="192" t="s">
        <v>382</v>
      </c>
    </row>
    <row r="3" spans="3:18" x14ac:dyDescent="0.25">
      <c r="C3" s="75" t="s">
        <v>222</v>
      </c>
      <c r="R3" s="192" t="s">
        <v>378</v>
      </c>
    </row>
    <row r="5" spans="3:18" x14ac:dyDescent="0.25">
      <c r="D5" t="s">
        <v>273</v>
      </c>
      <c r="E5" s="201" t="str">
        <f>+D5</f>
        <v>Auto</v>
      </c>
      <c r="F5" s="75" t="s">
        <v>268</v>
      </c>
      <c r="G5" s="201" t="str">
        <f>+F5</f>
        <v>Transportbusje</v>
      </c>
      <c r="H5" t="s">
        <v>274</v>
      </c>
      <c r="I5" s="201" t="str">
        <f>+H5</f>
        <v>Fietskoerier</v>
      </c>
    </row>
    <row r="7" spans="3:18" x14ac:dyDescent="0.25">
      <c r="C7" t="s">
        <v>243</v>
      </c>
      <c r="D7" s="64">
        <f>+Input!$C$36</f>
        <v>7</v>
      </c>
      <c r="F7" s="64">
        <f>+Input!$C$36</f>
        <v>7</v>
      </c>
      <c r="H7" s="64">
        <f>+Input!$C$36</f>
        <v>7</v>
      </c>
    </row>
    <row r="8" spans="3:18" x14ac:dyDescent="0.25">
      <c r="C8" t="s">
        <v>224</v>
      </c>
      <c r="D8" s="64">
        <f>+Input!C75</f>
        <v>2</v>
      </c>
      <c r="F8" s="64">
        <f>Input!C77</f>
        <v>2</v>
      </c>
      <c r="H8" s="64">
        <f>Input!C79</f>
        <v>2</v>
      </c>
    </row>
    <row r="9" spans="3:18" x14ac:dyDescent="0.25">
      <c r="C9" t="s">
        <v>283</v>
      </c>
      <c r="D9" s="64">
        <f>+Input!C76</f>
        <v>2</v>
      </c>
      <c r="E9" t="s">
        <v>244</v>
      </c>
      <c r="F9" s="64">
        <f>Input!C78</f>
        <v>10</v>
      </c>
      <c r="G9" t="s">
        <v>244</v>
      </c>
      <c r="H9" s="64">
        <f>Input!C80</f>
        <v>0.75</v>
      </c>
      <c r="I9" t="s">
        <v>244</v>
      </c>
    </row>
    <row r="10" spans="3:18" x14ac:dyDescent="0.25">
      <c r="C10" t="str">
        <f>+Input!B82</f>
        <v>Beschikbare tijd:</v>
      </c>
      <c r="D10" s="64">
        <f>+Input!$C$82</f>
        <v>2</v>
      </c>
      <c r="E10" t="s">
        <v>228</v>
      </c>
      <c r="F10" s="64">
        <f>+Input!$C$82</f>
        <v>2</v>
      </c>
      <c r="G10" t="s">
        <v>228</v>
      </c>
      <c r="H10" s="64">
        <f>+Input!$C$82</f>
        <v>2</v>
      </c>
      <c r="I10" t="s">
        <v>228</v>
      </c>
    </row>
    <row r="11" spans="3:18" x14ac:dyDescent="0.25">
      <c r="C11" t="str">
        <f>+Input!B85</f>
        <v>Volume van 1 lunch per kind gem:</v>
      </c>
      <c r="D11" s="64">
        <f>+Input!$C$85</f>
        <v>3.0720000000000001E-3</v>
      </c>
      <c r="E11" t="s">
        <v>244</v>
      </c>
      <c r="F11" s="64">
        <f>+Input!$C$85</f>
        <v>3.0720000000000001E-3</v>
      </c>
      <c r="G11" t="s">
        <v>244</v>
      </c>
      <c r="H11" s="64">
        <f>+Input!$C$85</f>
        <v>3.0720000000000001E-3</v>
      </c>
      <c r="I11" t="s">
        <v>244</v>
      </c>
    </row>
    <row r="12" spans="3:18" x14ac:dyDescent="0.25">
      <c r="C12" t="s">
        <v>284</v>
      </c>
      <c r="D12" s="85">
        <f>+Input!C87</f>
        <v>0.4</v>
      </c>
      <c r="F12" s="85">
        <f>Input!C89</f>
        <v>0.5</v>
      </c>
      <c r="H12" s="85">
        <f>Input!C91</f>
        <v>0.15</v>
      </c>
    </row>
    <row r="13" spans="3:18" x14ac:dyDescent="0.25">
      <c r="C13" t="s">
        <v>285</v>
      </c>
      <c r="D13" s="85">
        <f>+Input!C88</f>
        <v>30</v>
      </c>
      <c r="F13" s="85">
        <f>Input!C90</f>
        <v>30</v>
      </c>
      <c r="H13" s="85">
        <f>Input!C92</f>
        <v>30</v>
      </c>
    </row>
    <row r="14" spans="3:18" x14ac:dyDescent="0.25">
      <c r="C14" t="str">
        <f>+Input!B83</f>
        <v>Afstand tussen scholen:</v>
      </c>
      <c r="D14" s="64">
        <f>+Input!$C$83</f>
        <v>15</v>
      </c>
      <c r="E14" t="s">
        <v>221</v>
      </c>
      <c r="F14" s="64">
        <f>+Input!$C$83</f>
        <v>15</v>
      </c>
      <c r="G14" t="s">
        <v>221</v>
      </c>
      <c r="H14" s="64">
        <f>+Input!$C$83</f>
        <v>15</v>
      </c>
      <c r="I14" t="s">
        <v>221</v>
      </c>
    </row>
    <row r="15" spans="3:18" x14ac:dyDescent="0.25">
      <c r="C15" t="s">
        <v>400</v>
      </c>
      <c r="D15" s="64">
        <f>Input!$C$94</f>
        <v>2</v>
      </c>
      <c r="F15" s="64">
        <f>Input!$C$94</f>
        <v>2</v>
      </c>
      <c r="H15" s="64">
        <f>Input!$C$94</f>
        <v>2</v>
      </c>
    </row>
    <row r="18" spans="3:9" x14ac:dyDescent="0.25">
      <c r="C18" s="75" t="s">
        <v>245</v>
      </c>
    </row>
    <row r="20" spans="3:9" x14ac:dyDescent="0.25">
      <c r="C20" t="s">
        <v>403</v>
      </c>
      <c r="D20" s="64">
        <f>(+D7+0)/D8</f>
        <v>3.5</v>
      </c>
      <c r="E20" t="s">
        <v>228</v>
      </c>
      <c r="F20" s="64">
        <f>(+F7)/F8</f>
        <v>3.5</v>
      </c>
      <c r="G20" t="s">
        <v>228</v>
      </c>
      <c r="H20" s="64">
        <f>(+H7)/H8</f>
        <v>3.5</v>
      </c>
      <c r="I20" t="s">
        <v>228</v>
      </c>
    </row>
    <row r="21" spans="3:9" x14ac:dyDescent="0.25">
      <c r="C21" t="s">
        <v>246</v>
      </c>
      <c r="D21" s="64">
        <f>Volume_per_kind*Aantal_groepen*Aantal_Lunches_per_Groep</f>
        <v>0.44236799999999998</v>
      </c>
      <c r="E21" t="s">
        <v>244</v>
      </c>
      <c r="F21" s="64">
        <f>Input!$C$85*Input!$C$39*Input!$C$41</f>
        <v>0.44236799999999998</v>
      </c>
      <c r="G21" t="s">
        <v>244</v>
      </c>
      <c r="H21" s="64">
        <f>Input!$C$85*Input!$C$39*Input!$C$41</f>
        <v>0.44236799999999998</v>
      </c>
      <c r="I21" t="s">
        <v>244</v>
      </c>
    </row>
    <row r="22" spans="3:9" x14ac:dyDescent="0.25">
      <c r="C22" t="s">
        <v>316</v>
      </c>
      <c r="D22" s="64">
        <f>+D21*D7</f>
        <v>3.0965759999999998</v>
      </c>
      <c r="E22" t="s">
        <v>244</v>
      </c>
      <c r="F22" s="64">
        <f>+F21*F7</f>
        <v>3.0965759999999998</v>
      </c>
      <c r="G22" t="s">
        <v>244</v>
      </c>
      <c r="H22" s="64">
        <f>+H21*H7</f>
        <v>3.0965759999999998</v>
      </c>
      <c r="I22" t="s">
        <v>244</v>
      </c>
    </row>
    <row r="25" spans="3:9" x14ac:dyDescent="0.25">
      <c r="C25" s="75" t="s">
        <v>317</v>
      </c>
    </row>
    <row r="26" spans="3:9" x14ac:dyDescent="0.25">
      <c r="C26" t="s">
        <v>380</v>
      </c>
      <c r="D26" s="194">
        <f>+D22/D9</f>
        <v>1.5482879999999999</v>
      </c>
      <c r="F26" s="194">
        <f>+F22/F9</f>
        <v>0.30965759999999998</v>
      </c>
      <c r="H26" s="194">
        <f>+H22/H9</f>
        <v>4.128768</v>
      </c>
    </row>
    <row r="27" spans="3:9" x14ac:dyDescent="0.25">
      <c r="C27" t="s">
        <v>381</v>
      </c>
      <c r="D27" s="194">
        <f>+D20/D10</f>
        <v>1.75</v>
      </c>
      <c r="F27" s="194">
        <f>+F20/F10</f>
        <v>1.75</v>
      </c>
      <c r="H27" s="194">
        <f>+H20/H10</f>
        <v>1.75</v>
      </c>
    </row>
    <row r="28" spans="3:9" x14ac:dyDescent="0.25">
      <c r="C28" t="s">
        <v>396</v>
      </c>
      <c r="D28" s="86">
        <f>ROUNDUP(MAX(D26:D27),0)</f>
        <v>2</v>
      </c>
      <c r="F28" s="86">
        <f>ROUNDUP(MAX(F26:F27),0)</f>
        <v>2</v>
      </c>
      <c r="H28" s="86">
        <f>ROUNDUP(MAX(H26:H27),0)</f>
        <v>5</v>
      </c>
    </row>
    <row r="29" spans="3:9" x14ac:dyDescent="0.25">
      <c r="C29" t="s">
        <v>383</v>
      </c>
      <c r="D29" s="195">
        <f>D7+D28</f>
        <v>9</v>
      </c>
      <c r="F29" s="195">
        <f>F7+F28</f>
        <v>9</v>
      </c>
      <c r="H29" s="195">
        <f>H7+H28</f>
        <v>12</v>
      </c>
    </row>
    <row r="30" spans="3:9" x14ac:dyDescent="0.25">
      <c r="C30" t="s">
        <v>398</v>
      </c>
      <c r="D30" s="202">
        <f>D29/D8</f>
        <v>4.5</v>
      </c>
      <c r="F30" s="202">
        <f>F29/F8</f>
        <v>4.5</v>
      </c>
      <c r="H30" s="202">
        <f>H29/H8</f>
        <v>6</v>
      </c>
    </row>
    <row r="31" spans="3:9" x14ac:dyDescent="0.25">
      <c r="C31" t="s">
        <v>404</v>
      </c>
      <c r="D31" s="202">
        <f>D7/D28</f>
        <v>3.5</v>
      </c>
      <c r="F31" s="202">
        <f>F7/F28</f>
        <v>3.5</v>
      </c>
      <c r="H31" s="202">
        <f>H7/H28</f>
        <v>1.4</v>
      </c>
    </row>
    <row r="32" spans="3:9" x14ac:dyDescent="0.25">
      <c r="C32" t="s">
        <v>405</v>
      </c>
      <c r="D32" s="202">
        <f>IF(ROUNDUP(D31,0)*D21&gt;D9,ROUNDDOWN(D31,0),ROUNDUP(D31,0))</f>
        <v>4</v>
      </c>
      <c r="F32" s="202">
        <f>IF(ROUNDUP(F31,0)*F21&gt;F9,ROUNDDOWN(F31,0),ROUNDUP(F31,0))</f>
        <v>4</v>
      </c>
      <c r="H32" s="202">
        <f>IF(ROUNDUP(H31,0)*H21&gt;H9,ROUNDDOWN(H31,0),ROUNDUP(H31,0))</f>
        <v>1</v>
      </c>
    </row>
    <row r="33" spans="3:9" x14ac:dyDescent="0.25">
      <c r="C33" t="s">
        <v>406</v>
      </c>
      <c r="D33" s="202">
        <f>D7-(D35*D32)</f>
        <v>3</v>
      </c>
      <c r="F33" s="202">
        <f>F7-(F35*F32)</f>
        <v>3</v>
      </c>
      <c r="H33" s="202">
        <f>H7-(H35*H32)</f>
        <v>0</v>
      </c>
    </row>
    <row r="34" spans="3:9" x14ac:dyDescent="0.25">
      <c r="C34" s="209" t="s">
        <v>399</v>
      </c>
      <c r="D34" s="202">
        <f>ROUNDUP((IF(D31=1,D29/D8,(D29-D28)/D8))/D10,0)</f>
        <v>2</v>
      </c>
      <c r="E34" s="203">
        <f>+D34</f>
        <v>2</v>
      </c>
      <c r="F34" s="202">
        <f>ROUNDUP((IF(F31=1,F29/F8,(F29-F28)/F8))/F10,0)</f>
        <v>2</v>
      </c>
      <c r="G34" s="203">
        <f>+F34</f>
        <v>2</v>
      </c>
      <c r="H34" s="202">
        <f>ROUNDUP((IF(H31=1,H29/H8,(H29-H28)/H8))/H10,0)</f>
        <v>2</v>
      </c>
      <c r="I34" s="203">
        <f>+H34</f>
        <v>2</v>
      </c>
    </row>
    <row r="35" spans="3:9" x14ac:dyDescent="0.25">
      <c r="C35" t="s">
        <v>408</v>
      </c>
      <c r="D35" s="202">
        <f>ROUNDDOWN(D7/D32,0)</f>
        <v>1</v>
      </c>
      <c r="E35" s="203"/>
      <c r="F35" s="202">
        <f>ROUNDDOWN(F7/F32,0)</f>
        <v>1</v>
      </c>
      <c r="G35" s="203"/>
      <c r="H35" s="202">
        <f>ROUNDDOWN(H7/H32,0)</f>
        <v>7</v>
      </c>
      <c r="I35" s="203"/>
    </row>
    <row r="36" spans="3:9" x14ac:dyDescent="0.25">
      <c r="C36" t="s">
        <v>409</v>
      </c>
      <c r="D36" s="202">
        <f>IFERROR((D7-(D32*D35))/D33,0)</f>
        <v>1</v>
      </c>
      <c r="E36" s="202"/>
      <c r="F36" s="202">
        <f>IFERROR((F7-(F32*F35))/F33,0)</f>
        <v>1</v>
      </c>
      <c r="G36" s="202"/>
      <c r="H36" s="202">
        <f>IFERROR((H7-(H32*H35))/H33,0)</f>
        <v>0</v>
      </c>
      <c r="I36" s="203"/>
    </row>
    <row r="37" spans="3:9" x14ac:dyDescent="0.25">
      <c r="C37" t="s">
        <v>410</v>
      </c>
      <c r="D37" s="202">
        <f>(D32+1)/D8</f>
        <v>2.5</v>
      </c>
      <c r="E37" s="202"/>
      <c r="F37" s="202">
        <f>(F32+1)/F8</f>
        <v>2.5</v>
      </c>
      <c r="G37" s="202"/>
      <c r="H37" s="202">
        <f>(H32+1)/H8</f>
        <v>1</v>
      </c>
      <c r="I37" s="203"/>
    </row>
    <row r="38" spans="3:9" x14ac:dyDescent="0.25">
      <c r="C38" t="s">
        <v>411</v>
      </c>
      <c r="D38" s="202">
        <f>IF(D33=0,0,(D33+1)/D8)</f>
        <v>2</v>
      </c>
      <c r="E38" s="202"/>
      <c r="F38" s="202">
        <f>IF(F33=0,0,(F33+1)/F8)</f>
        <v>2</v>
      </c>
      <c r="G38" s="202"/>
      <c r="H38" s="202">
        <f>IF(H33=0,0,(H33+1)/H8)</f>
        <v>0</v>
      </c>
      <c r="I38" s="203"/>
    </row>
    <row r="39" spans="3:9" x14ac:dyDescent="0.25">
      <c r="C39" t="s">
        <v>412</v>
      </c>
      <c r="D39" s="202">
        <f>ROUNDUP(D10/D37,0)</f>
        <v>1</v>
      </c>
      <c r="E39" s="202"/>
      <c r="F39" s="202">
        <f>ROUNDUP(F10/F37,0)</f>
        <v>1</v>
      </c>
      <c r="G39" s="202"/>
      <c r="H39" s="202">
        <f>ROUNDUP(H10/H37,0)</f>
        <v>2</v>
      </c>
      <c r="I39" s="203"/>
    </row>
    <row r="40" spans="3:9" x14ac:dyDescent="0.25">
      <c r="C40" t="s">
        <v>413</v>
      </c>
      <c r="D40" s="202">
        <f>ROUNDUP(D35/D39,0)</f>
        <v>1</v>
      </c>
      <c r="E40" s="202"/>
      <c r="F40" s="202">
        <f>ROUNDUP(F35/F39,0)</f>
        <v>1</v>
      </c>
      <c r="G40" s="202"/>
      <c r="H40" s="202">
        <f>ROUNDUP(H35/H39,0)</f>
        <v>4</v>
      </c>
      <c r="I40" s="203"/>
    </row>
    <row r="41" spans="3:9" x14ac:dyDescent="0.25">
      <c r="C41" t="s">
        <v>414</v>
      </c>
      <c r="D41" s="202">
        <f>IF(D36=0,0,ROUNDUP(D36/D38,0))</f>
        <v>1</v>
      </c>
      <c r="E41" s="202"/>
      <c r="F41" s="202">
        <f>IF(F36=0,0,ROUNDUP(F36/F38,0))</f>
        <v>1</v>
      </c>
      <c r="G41" s="202"/>
      <c r="H41" s="202">
        <f>IF(H36=0,0,ROUNDUP(H36/H38,0))</f>
        <v>0</v>
      </c>
      <c r="I41" s="203"/>
    </row>
    <row r="42" spans="3:9" x14ac:dyDescent="0.25">
      <c r="C42" t="s">
        <v>415</v>
      </c>
      <c r="D42" s="202">
        <f>D40+D41</f>
        <v>2</v>
      </c>
      <c r="E42" s="202"/>
      <c r="F42" s="202">
        <f>F40+F41</f>
        <v>2</v>
      </c>
      <c r="G42" s="202"/>
      <c r="H42" s="202">
        <f>H40+H41</f>
        <v>4</v>
      </c>
      <c r="I42" s="203"/>
    </row>
    <row r="43" spans="3:9" x14ac:dyDescent="0.25">
      <c r="C43" t="s">
        <v>407</v>
      </c>
      <c r="D43" s="202">
        <f>(D37*D39*D40)+(D38*D41)</f>
        <v>4.5</v>
      </c>
      <c r="E43" s="203"/>
      <c r="F43" s="202">
        <f>(F37*F39*F40)+(F38*F41)</f>
        <v>4.5</v>
      </c>
      <c r="G43" s="203"/>
      <c r="H43" s="202">
        <f>(H37*H39*H40)+(H38*H41)</f>
        <v>8</v>
      </c>
      <c r="I43" s="203"/>
    </row>
    <row r="45" spans="3:9" x14ac:dyDescent="0.25">
      <c r="C45" t="s">
        <v>248</v>
      </c>
    </row>
    <row r="46" spans="3:9" x14ac:dyDescent="0.25">
      <c r="C46" t="s">
        <v>249</v>
      </c>
      <c r="D46" s="81">
        <f>D43*D13</f>
        <v>135</v>
      </c>
      <c r="F46" s="81">
        <f>F43*F13</f>
        <v>135</v>
      </c>
      <c r="H46" s="81">
        <f>H43*H13</f>
        <v>240</v>
      </c>
    </row>
    <row r="47" spans="3:9" x14ac:dyDescent="0.25">
      <c r="C47" t="s">
        <v>250</v>
      </c>
      <c r="D47" s="81">
        <f>D14*D29*D12</f>
        <v>54</v>
      </c>
      <c r="F47" s="81">
        <f>F14*F29*F12</f>
        <v>67.5</v>
      </c>
      <c r="H47" s="81">
        <f>H14*H29*H12</f>
        <v>27</v>
      </c>
    </row>
    <row r="48" spans="3:9" x14ac:dyDescent="0.25">
      <c r="C48" t="s">
        <v>242</v>
      </c>
      <c r="E48" s="81">
        <f>+D46+D47</f>
        <v>189</v>
      </c>
      <c r="G48" s="81">
        <f>+F46+F47</f>
        <v>202.5</v>
      </c>
      <c r="I48" s="81">
        <f>+H46+H47</f>
        <v>267</v>
      </c>
    </row>
    <row r="49" spans="3:9" x14ac:dyDescent="0.25">
      <c r="C49" t="s">
        <v>286</v>
      </c>
      <c r="E49" s="210">
        <f>+E48/Aantal_Leerlingen</f>
        <v>0.1875</v>
      </c>
      <c r="G49" s="210">
        <f>+G48/Input!$G$36</f>
        <v>0.20089285714285715</v>
      </c>
      <c r="I49" s="210">
        <f>+I48/Input!$G$36</f>
        <v>0.26488095238095238</v>
      </c>
    </row>
    <row r="51" spans="3:9" x14ac:dyDescent="0.25">
      <c r="C51" t="s">
        <v>397</v>
      </c>
      <c r="D51" s="204">
        <f>MIN(E49:I49)</f>
        <v>0.1875</v>
      </c>
      <c r="E51" t="s">
        <v>416</v>
      </c>
    </row>
    <row r="52" spans="3:9" x14ac:dyDescent="0.25">
      <c r="D52" s="64" t="str">
        <f>INDEX(D5:H5,MATCH(D51,D49:I49,0))</f>
        <v>Auto</v>
      </c>
      <c r="E52" t="s">
        <v>416</v>
      </c>
    </row>
    <row r="53" spans="3:9" x14ac:dyDescent="0.25">
      <c r="C53" t="s">
        <v>401</v>
      </c>
      <c r="D53" s="64">
        <f>INDEX(D34:I34,MATCH(D51,D49:I49,0))</f>
        <v>2</v>
      </c>
      <c r="E53" t="s">
        <v>416</v>
      </c>
    </row>
    <row r="60" spans="3:9" x14ac:dyDescent="0.25">
      <c r="E60" s="98"/>
    </row>
    <row r="61" spans="3:9" x14ac:dyDescent="0.25">
      <c r="E61" s="98"/>
    </row>
    <row r="62" spans="3:9" x14ac:dyDescent="0.25">
      <c r="E62" s="98"/>
    </row>
  </sheetData>
  <hyperlinks>
    <hyperlink ref="R3" location="Input!A1" display="naar input:"/>
    <hyperlink ref="C1" location="Input!A1" display="naar input"/>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4" tint="0.59999389629810485"/>
  </sheetPr>
  <dimension ref="A1:G20"/>
  <sheetViews>
    <sheetView zoomScaleNormal="100" workbookViewId="0">
      <selection activeCell="B15" sqref="B15"/>
    </sheetView>
  </sheetViews>
  <sheetFormatPr defaultRowHeight="15" x14ac:dyDescent="0.25"/>
  <cols>
    <col min="1" max="1" width="5.140625" customWidth="1"/>
    <col min="2" max="2" width="36.140625" customWidth="1"/>
    <col min="3" max="3" width="16.42578125" bestFit="1" customWidth="1"/>
    <col min="7" max="7" width="16.42578125" bestFit="1" customWidth="1"/>
  </cols>
  <sheetData>
    <row r="1" spans="1:7" x14ac:dyDescent="0.25">
      <c r="A1" s="192" t="s">
        <v>382</v>
      </c>
    </row>
    <row r="2" spans="1:7" x14ac:dyDescent="0.25">
      <c r="E2" t="s">
        <v>325</v>
      </c>
    </row>
    <row r="3" spans="1:7" x14ac:dyDescent="0.25">
      <c r="C3" t="s">
        <v>292</v>
      </c>
      <c r="E3" t="s">
        <v>294</v>
      </c>
      <c r="G3" t="s">
        <v>293</v>
      </c>
    </row>
    <row r="4" spans="1:7" x14ac:dyDescent="0.25">
      <c r="B4" t="s">
        <v>295</v>
      </c>
      <c r="C4" s="64">
        <f>Input!$C$39</f>
        <v>8</v>
      </c>
      <c r="E4" s="64">
        <f>Input!$C$39</f>
        <v>8</v>
      </c>
      <c r="G4" s="64">
        <f>Input!$C$39</f>
        <v>8</v>
      </c>
    </row>
    <row r="5" spans="1:7" x14ac:dyDescent="0.25">
      <c r="B5" t="s">
        <v>303</v>
      </c>
      <c r="C5" s="64">
        <f>Input!$C$97</f>
        <v>15</v>
      </c>
      <c r="E5" s="64">
        <f>Input!$C$98</f>
        <v>25</v>
      </c>
      <c r="G5" s="64">
        <f>Input!$C$98</f>
        <v>25</v>
      </c>
    </row>
    <row r="6" spans="1:7" x14ac:dyDescent="0.25">
      <c r="B6" t="s">
        <v>302</v>
      </c>
      <c r="C6" s="64">
        <f>Input!$C$99</f>
        <v>1.5</v>
      </c>
      <c r="E6" s="64">
        <f>Input!$C$99</f>
        <v>1.5</v>
      </c>
      <c r="G6" s="64">
        <f>Input!$C$99</f>
        <v>1.5</v>
      </c>
    </row>
    <row r="7" spans="1:7" x14ac:dyDescent="0.25">
      <c r="B7" t="s">
        <v>285</v>
      </c>
      <c r="C7" s="81">
        <f>Input!C100</f>
        <v>0</v>
      </c>
      <c r="E7" s="81">
        <f>Input!C100</f>
        <v>0</v>
      </c>
      <c r="G7" s="81">
        <f>Input!$C$101</f>
        <v>30</v>
      </c>
    </row>
    <row r="9" spans="1:7" x14ac:dyDescent="0.25">
      <c r="B9" t="s">
        <v>299</v>
      </c>
      <c r="C9" s="64">
        <f>C4*C5</f>
        <v>120</v>
      </c>
      <c r="E9" s="64">
        <f>E4*E5</f>
        <v>200</v>
      </c>
      <c r="G9" s="64">
        <f>G4*G5</f>
        <v>200</v>
      </c>
    </row>
    <row r="10" spans="1:7" x14ac:dyDescent="0.25">
      <c r="B10" t="s">
        <v>318</v>
      </c>
      <c r="C10" s="64">
        <f>ROUNDUP(C9/(C6*60),0)</f>
        <v>2</v>
      </c>
      <c r="E10" s="64">
        <f>ROUNDUP(E9/(E6*60),0)</f>
        <v>3</v>
      </c>
      <c r="G10" s="144">
        <f>ROUNDUP(G9/(G6*60),0)</f>
        <v>3</v>
      </c>
    </row>
    <row r="12" spans="1:7" x14ac:dyDescent="0.25">
      <c r="B12" t="s">
        <v>304</v>
      </c>
      <c r="C12" s="143">
        <f>C10*C6*C7</f>
        <v>0</v>
      </c>
      <c r="E12" s="81">
        <f>E10*E6*E7</f>
        <v>0</v>
      </c>
      <c r="G12" s="81">
        <f>G10*G6*G7</f>
        <v>135</v>
      </c>
    </row>
    <row r="13" spans="1:7" x14ac:dyDescent="0.25">
      <c r="B13" t="s">
        <v>305</v>
      </c>
      <c r="C13" s="81">
        <f>IFERROR((C12/(Input!$C$39*Input!$C$41)),0)</f>
        <v>0</v>
      </c>
      <c r="D13" s="80"/>
      <c r="E13" s="81">
        <f>IFERROR((E12/(Input!$C$39*Input!$C$41)),0)</f>
        <v>0</v>
      </c>
      <c r="F13" s="80"/>
      <c r="G13" s="81">
        <f>IFERROR((G12/(Input!$C$39*Input!$C$41)),0)</f>
        <v>0.9375</v>
      </c>
    </row>
    <row r="18" spans="3:5" x14ac:dyDescent="0.25">
      <c r="C18" t="s">
        <v>292</v>
      </c>
      <c r="D18" s="81">
        <f>C13</f>
        <v>0</v>
      </c>
      <c r="E18" s="81">
        <f>C12</f>
        <v>0</v>
      </c>
    </row>
    <row r="19" spans="3:5" x14ac:dyDescent="0.25">
      <c r="C19" t="s">
        <v>326</v>
      </c>
      <c r="D19" s="81">
        <f>E13</f>
        <v>0</v>
      </c>
      <c r="E19" s="81">
        <f>E12</f>
        <v>0</v>
      </c>
    </row>
    <row r="20" spans="3:5" x14ac:dyDescent="0.25">
      <c r="C20" t="s">
        <v>293</v>
      </c>
      <c r="D20" s="81">
        <f>G13</f>
        <v>0.9375</v>
      </c>
      <c r="E20" s="81">
        <f>G12</f>
        <v>135</v>
      </c>
    </row>
  </sheetData>
  <hyperlinks>
    <hyperlink ref="A1" location="Input!A1" display="naar input"/>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8E4451FB0FD6645B7C7287E02BCA81D" ma:contentTypeVersion="14" ma:contentTypeDescription="Een nieuw document maken." ma:contentTypeScope="" ma:versionID="c4c8f53721fcbadebe7fec4f76473f09">
  <xsd:schema xmlns:xsd="http://www.w3.org/2001/XMLSchema" xmlns:xs="http://www.w3.org/2001/XMLSchema" xmlns:p="http://schemas.microsoft.com/office/2006/metadata/properties" xmlns:ns3="6dcbebdf-0098-4de5-a2d1-c6732807a230" xmlns:ns4="45a334bc-95cf-4abd-921d-1be050bef525" targetNamespace="http://schemas.microsoft.com/office/2006/metadata/properties" ma:root="true" ma:fieldsID="4ea7749585582e4177d81b97173be903" ns3:_="" ns4:_="">
    <xsd:import namespace="6dcbebdf-0098-4de5-a2d1-c6732807a230"/>
    <xsd:import namespace="45a334bc-95cf-4abd-921d-1be050bef525"/>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AutoKeyPoints" minOccurs="0"/>
                <xsd:element ref="ns3:MediaServiceKeyPoints" minOccurs="0"/>
                <xsd:element ref="ns3:MediaServiceOCR" minOccurs="0"/>
                <xsd:element ref="ns3:MediaLengthInSeconds" minOccurs="0"/>
                <xsd:element ref="ns3:MediaServiceLocation"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dcbebdf-0098-4de5-a2d1-c6732807a23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OCR" ma:index="16" nillable="true" ma:displayName="Extracted Text" ma:internalName="MediaServiceOCR" ma:readOnly="true">
      <xsd:simpleType>
        <xsd:restriction base="dms:Note">
          <xsd:maxLength value="255"/>
        </xsd:restriction>
      </xsd:simpleType>
    </xsd:element>
    <xsd:element name="MediaLengthInSeconds" ma:index="17" nillable="true" ma:displayName="Length (seconds)" ma:internalName="MediaLengthInSeconds" ma:readOnly="true">
      <xsd:simpleType>
        <xsd:restriction base="dms:Unknown"/>
      </xsd:simpleType>
    </xsd:element>
    <xsd:element name="MediaServiceLocation" ma:index="18"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5a334bc-95cf-4abd-921d-1be050bef525" elementFormDefault="qualified">
    <xsd:import namespace="http://schemas.microsoft.com/office/2006/documentManagement/types"/>
    <xsd:import namespace="http://schemas.microsoft.com/office/infopath/2007/PartnerControls"/>
    <xsd:element name="SharedWithUsers" ma:index="19"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Gedeeld met details" ma:internalName="SharedWithDetails" ma:readOnly="true">
      <xsd:simpleType>
        <xsd:restriction base="dms:Note">
          <xsd:maxLength value="255"/>
        </xsd:restriction>
      </xsd:simpleType>
    </xsd:element>
    <xsd:element name="SharingHintHash" ma:index="21" nillable="true" ma:displayName="Hint-hash delen"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37957A9-7443-43AD-98B9-9C745A84991D}">
  <ds:schemaRefs>
    <ds:schemaRef ds:uri="http://schemas.microsoft.com/sharepoint/v3/contenttype/forms"/>
  </ds:schemaRefs>
</ds:datastoreItem>
</file>

<file path=customXml/itemProps2.xml><?xml version="1.0" encoding="utf-8"?>
<ds:datastoreItem xmlns:ds="http://schemas.openxmlformats.org/officeDocument/2006/customXml" ds:itemID="{B8A4A10E-993C-466C-A404-EACD8FF92790}">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6dcbebdf-0098-4de5-a2d1-c6732807a230"/>
    <ds:schemaRef ds:uri="45a334bc-95cf-4abd-921d-1be050bef525"/>
    <ds:schemaRef ds:uri="http://purl.org/dc/term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F8D5ABAB-1DAA-4838-B43B-BEE04B98408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dcbebdf-0098-4de5-a2d1-c6732807a230"/>
    <ds:schemaRef ds:uri="45a334bc-95cf-4abd-921d-1be050bef52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11</vt:i4>
      </vt:variant>
      <vt:variant>
        <vt:lpstr>Benoemde bereiken</vt:lpstr>
      </vt:variant>
      <vt:variant>
        <vt:i4>28</vt:i4>
      </vt:variant>
    </vt:vector>
  </HeadingPairs>
  <TitlesOfParts>
    <vt:vector size="39" baseType="lpstr">
      <vt:lpstr>Disclaimer</vt:lpstr>
      <vt:lpstr>Docu</vt:lpstr>
      <vt:lpstr>Input</vt:lpstr>
      <vt:lpstr>Dashboard</vt:lpstr>
      <vt:lpstr>Scenario </vt:lpstr>
      <vt:lpstr>Tuinders</vt:lpstr>
      <vt:lpstr>Hub</vt:lpstr>
      <vt:lpstr>Final mile</vt:lpstr>
      <vt:lpstr>Uitserveren op school</vt:lpstr>
      <vt:lpstr>Inkooplijst</vt:lpstr>
      <vt:lpstr>Dropdown</vt:lpstr>
      <vt:lpstr>Aantal_Deelnemende_Scholen</vt:lpstr>
      <vt:lpstr>Aantal_groepen</vt:lpstr>
      <vt:lpstr>Aantal_Leerlingen</vt:lpstr>
      <vt:lpstr>Aantal_Lunches_per_Groep</vt:lpstr>
      <vt:lpstr>Aantal_lunches_per_school_per_week</vt:lpstr>
      <vt:lpstr>Aantal_stop_per_uur_fiets_koerier</vt:lpstr>
      <vt:lpstr>Aantal_stops_per_uur_auto</vt:lpstr>
      <vt:lpstr>Aantal_stops_per_uur_transportbusje</vt:lpstr>
      <vt:lpstr>Aantal_werkdagen_op_de_Hub</vt:lpstr>
      <vt:lpstr>DB_collectiekosten_tuinders</vt:lpstr>
      <vt:lpstr>DB_Inkoopkosten</vt:lpstr>
      <vt:lpstr>DB_logistieke_kosten</vt:lpstr>
      <vt:lpstr>DB_logistieke_kosten_final_mile</vt:lpstr>
      <vt:lpstr>DB_productie_kosten_hub</vt:lpstr>
      <vt:lpstr>DB_totale_kosten_dashboard</vt:lpstr>
      <vt:lpstr>DB_uitserveerkosten</vt:lpstr>
      <vt:lpstr>Inkoop_kosten_per_lunch</vt:lpstr>
      <vt:lpstr>Kosten_per_uur_uitserveren_op_school</vt:lpstr>
      <vt:lpstr>Management_opslag__voorbereiding</vt:lpstr>
      <vt:lpstr>Netto_productietijd_per_lunch_in_min</vt:lpstr>
      <vt:lpstr>Toeslag_volume</vt:lpstr>
      <vt:lpstr>totale_kosten_dashboard</vt:lpstr>
      <vt:lpstr>Uurtarief_professional</vt:lpstr>
      <vt:lpstr>Vaste_kosten_Hub_per_werkdag</vt:lpstr>
      <vt:lpstr>Volume_per_auto</vt:lpstr>
      <vt:lpstr>Volume_per_fietskoerier</vt:lpstr>
      <vt:lpstr>Volume_per_kind</vt:lpstr>
      <vt:lpstr>Volume_per_transportbusje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Bart</dc:creator>
  <cp:keywords/>
  <dc:description/>
  <cp:lastModifiedBy>Verboeket,Victor V.H.G.</cp:lastModifiedBy>
  <cp:revision/>
  <dcterms:created xsi:type="dcterms:W3CDTF">2021-04-19T07:53:34Z</dcterms:created>
  <dcterms:modified xsi:type="dcterms:W3CDTF">2022-01-28T16:41:21Z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0x010100B8E4451FB0FD6645B7C7287E02BCA81D</vt:lpwstr>
  </property>
</Properties>
</file>